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0e91dd40c53f4/Documents/DOCS/Racing Points/"/>
    </mc:Choice>
  </mc:AlternateContent>
  <xr:revisionPtr revIDLastSave="570" documentId="8_{45EE841B-816B-4497-BE78-E41F6680340A}" xr6:coauthVersionLast="47" xr6:coauthVersionMax="47" xr10:uidLastSave="{A522D72B-52CD-49D4-B7D5-219CC5AB082B}"/>
  <bookViews>
    <workbookView xWindow="-120" yWindow="-120" windowWidth="29040" windowHeight="15720" activeTab="1" xr2:uid="{4DF28615-9399-4200-B0BD-98CC3B9E6A17}"/>
  </bookViews>
  <sheets>
    <sheet name="Male_Walkers" sheetId="1" r:id="rId1"/>
    <sheet name="Female_Walkers" sheetId="2" r:id="rId2"/>
    <sheet name="Female_Runners" sheetId="3" r:id="rId3"/>
    <sheet name="Male_Runne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" l="1"/>
  <c r="G42" i="3"/>
  <c r="E50" i="1"/>
  <c r="G49" i="1"/>
  <c r="G9" i="4"/>
  <c r="G10" i="4"/>
  <c r="G10" i="3"/>
  <c r="G7" i="3"/>
  <c r="G8" i="3"/>
  <c r="G9" i="3"/>
  <c r="G32" i="3"/>
  <c r="G33" i="3"/>
  <c r="G22" i="2"/>
  <c r="G23" i="2"/>
  <c r="G24" i="2"/>
  <c r="G25" i="2"/>
  <c r="G7" i="2"/>
  <c r="G8" i="2"/>
  <c r="G9" i="2"/>
  <c r="G10" i="2"/>
  <c r="G11" i="2"/>
  <c r="E24" i="4"/>
  <c r="G23" i="4"/>
  <c r="G22" i="4"/>
  <c r="E88" i="2"/>
  <c r="G87" i="2"/>
  <c r="G86" i="2"/>
  <c r="G88" i="2" s="1"/>
  <c r="G81" i="2"/>
  <c r="G48" i="1"/>
  <c r="G47" i="1"/>
  <c r="G50" i="1" s="1"/>
  <c r="E18" i="4"/>
  <c r="G17" i="4"/>
  <c r="G16" i="4"/>
  <c r="G18" i="4" s="1"/>
  <c r="E43" i="1"/>
  <c r="G42" i="1"/>
  <c r="G41" i="1"/>
  <c r="G43" i="1" s="1"/>
  <c r="G7" i="4"/>
  <c r="G8" i="4"/>
  <c r="E82" i="2"/>
  <c r="G80" i="2"/>
  <c r="G79" i="2"/>
  <c r="E33" i="2"/>
  <c r="G32" i="2"/>
  <c r="G31" i="2"/>
  <c r="E36" i="1"/>
  <c r="G35" i="1"/>
  <c r="G34" i="1"/>
  <c r="E29" i="1"/>
  <c r="G28" i="1"/>
  <c r="G27" i="1"/>
  <c r="E25" i="3"/>
  <c r="G24" i="3"/>
  <c r="G23" i="3"/>
  <c r="G25" i="3" s="1"/>
  <c r="E11" i="3"/>
  <c r="G6" i="3"/>
  <c r="G5" i="3"/>
  <c r="G19" i="2"/>
  <c r="G20" i="2"/>
  <c r="G21" i="2"/>
  <c r="E26" i="2"/>
  <c r="G18" i="2"/>
  <c r="G17" i="2"/>
  <c r="E75" i="2"/>
  <c r="G74" i="2"/>
  <c r="G73" i="2"/>
  <c r="E68" i="2"/>
  <c r="G67" i="2"/>
  <c r="G66" i="2"/>
  <c r="E22" i="1"/>
  <c r="G21" i="1"/>
  <c r="G20" i="1"/>
  <c r="E11" i="4"/>
  <c r="G6" i="4"/>
  <c r="G5" i="4"/>
  <c r="E43" i="3"/>
  <c r="G40" i="3"/>
  <c r="G39" i="3"/>
  <c r="E34" i="3"/>
  <c r="G31" i="3"/>
  <c r="G30" i="3"/>
  <c r="E18" i="3"/>
  <c r="G17" i="3"/>
  <c r="G16" i="3"/>
  <c r="E61" i="2"/>
  <c r="G60" i="2"/>
  <c r="G59" i="2"/>
  <c r="E54" i="2"/>
  <c r="G53" i="2"/>
  <c r="G52" i="2"/>
  <c r="E47" i="2"/>
  <c r="G46" i="2"/>
  <c r="G45" i="2"/>
  <c r="E40" i="2"/>
  <c r="G39" i="2"/>
  <c r="G38" i="2"/>
  <c r="E12" i="2"/>
  <c r="G6" i="2"/>
  <c r="G5" i="2"/>
  <c r="E14" i="1"/>
  <c r="G13" i="1"/>
  <c r="G12" i="1"/>
  <c r="E57" i="1"/>
  <c r="G56" i="1"/>
  <c r="G55" i="1"/>
  <c r="E7" i="1"/>
  <c r="G5" i="1"/>
  <c r="G6" i="1"/>
  <c r="G24" i="4" l="1"/>
  <c r="G11" i="3"/>
  <c r="G82" i="2"/>
  <c r="G54" i="2"/>
  <c r="G33" i="2"/>
  <c r="G11" i="4"/>
  <c r="G36" i="1"/>
  <c r="G29" i="1"/>
  <c r="G22" i="1"/>
  <c r="G14" i="1"/>
  <c r="G57" i="1"/>
  <c r="G43" i="3"/>
  <c r="G18" i="3"/>
  <c r="G34" i="3"/>
  <c r="G26" i="2"/>
  <c r="G47" i="2"/>
  <c r="G40" i="2"/>
  <c r="G75" i="2"/>
  <c r="G68" i="2"/>
  <c r="G61" i="2"/>
  <c r="G12" i="2"/>
  <c r="G7" i="1"/>
</calcChain>
</file>

<file path=xl/sharedStrings.xml><?xml version="1.0" encoding="utf-8"?>
<sst xmlns="http://schemas.openxmlformats.org/spreadsheetml/2006/main" count="360" uniqueCount="74">
  <si>
    <t>Race</t>
  </si>
  <si>
    <t>Date</t>
  </si>
  <si>
    <t>Award</t>
  </si>
  <si>
    <t>Award Pts</t>
  </si>
  <si>
    <t>Dist Pts</t>
  </si>
  <si>
    <t>Total</t>
  </si>
  <si>
    <t>Brenis Phillips</t>
  </si>
  <si>
    <t>Male Walkers</t>
  </si>
  <si>
    <t>Icicle 5 K, Belpre Oh</t>
  </si>
  <si>
    <t>1st AG</t>
  </si>
  <si>
    <t>Jason Mader</t>
  </si>
  <si>
    <t>1st OA</t>
  </si>
  <si>
    <t>Carl Kondrach</t>
  </si>
  <si>
    <t>Female Walkers</t>
  </si>
  <si>
    <t>Darlene Stout</t>
  </si>
  <si>
    <t>Run Your Ice Off 5K Cambridge OH</t>
  </si>
  <si>
    <t>NA</t>
  </si>
  <si>
    <t>Katie Mader</t>
  </si>
  <si>
    <t>2nd OA</t>
  </si>
  <si>
    <t>Kristine Hamiltom</t>
  </si>
  <si>
    <t>Cynthia Hein</t>
  </si>
  <si>
    <t>3rd AG</t>
  </si>
  <si>
    <t>Ashley Gates</t>
  </si>
  <si>
    <t>Female Runners</t>
  </si>
  <si>
    <t>Pamela Addis</t>
  </si>
  <si>
    <t>Sussie Hitt</t>
  </si>
  <si>
    <t>Amy Ferguson</t>
  </si>
  <si>
    <t>2nd AG</t>
  </si>
  <si>
    <t>Male Runners</t>
  </si>
  <si>
    <t>Ron Edinger</t>
  </si>
  <si>
    <t>Allie Richter</t>
  </si>
  <si>
    <t>Mary  Richter</t>
  </si>
  <si>
    <t>Barbara Jahn</t>
  </si>
  <si>
    <t>Tooth Trot 5K, Melbourne Fl</t>
  </si>
  <si>
    <t>3 OA</t>
  </si>
  <si>
    <t xml:space="preserve">Quail Valley Charities 5K, Vero Beach Fl </t>
  </si>
  <si>
    <t>N ew Beginning 5K, Vero Beach Fl</t>
  </si>
  <si>
    <t>Bridge Buster 5K, Fort Pierce Fl</t>
  </si>
  <si>
    <t>Monatoo Hustle 5K, Indialastic Fl</t>
  </si>
  <si>
    <t>Denna Addis</t>
  </si>
  <si>
    <t>Icicle 5 K, Belpre Oh - Virtual</t>
  </si>
  <si>
    <t>Diana Cline</t>
  </si>
  <si>
    <t>Run Your Ice Off 5K, Cambridge OH</t>
  </si>
  <si>
    <t>Jason Mahaney</t>
  </si>
  <si>
    <t>Craig Brock</t>
  </si>
  <si>
    <t>Jackie Martin</t>
  </si>
  <si>
    <t>Cherrie Cowen</t>
  </si>
  <si>
    <t>Run for Education 5K, Marysville OH</t>
  </si>
  <si>
    <t>Resolution Run 5K, Cleveland OH</t>
  </si>
  <si>
    <t>Frigid 5M, Allison Park PA</t>
  </si>
  <si>
    <t>Just a Jog 5K, Columbiana OH</t>
  </si>
  <si>
    <t>Athens Marathon, Athens GA</t>
  </si>
  <si>
    <t>Tim Buskirk</t>
  </si>
  <si>
    <t>Bob Heddleston</t>
  </si>
  <si>
    <t>Valentine Classic 5K, Boaz WV</t>
  </si>
  <si>
    <t>Valentine Classic 5K - Virtual</t>
  </si>
  <si>
    <t>2d AG</t>
  </si>
  <si>
    <t>Stacey Frame</t>
  </si>
  <si>
    <t>Justin Frame</t>
  </si>
  <si>
    <t>Run Your Heart Out 5K, Old Washington Oh</t>
  </si>
  <si>
    <t>XOXO Walk/Run 5K - Virtual</t>
  </si>
  <si>
    <t>Timbuk Winter Challenge 11K, Granville OH</t>
  </si>
  <si>
    <t>Wagging Tails on the Trail 5K, Fort Pierce FL</t>
  </si>
  <si>
    <t>Aktive Legacy 5K, Melbourne FL</t>
  </si>
  <si>
    <t>The Royal Cupcake 3K, Vero Beach FL</t>
  </si>
  <si>
    <t>Brianna Marie Foundation 5K, Melbourne FL</t>
  </si>
  <si>
    <t>Meek MTN Trail Chrush 5K, Hurricane WV</t>
  </si>
  <si>
    <t>Cabin Fever Trail Race 5K, Richfield OH</t>
  </si>
  <si>
    <t>Railway Marathon, Fultondale AL</t>
  </si>
  <si>
    <t>You Complete Me 5K, Columbiana OH</t>
  </si>
  <si>
    <t>Cookie Run 5K, Columbus OH</t>
  </si>
  <si>
    <t>Woodlands Houston Texas HalfM</t>
  </si>
  <si>
    <t>Copid's Undie Run 1.1 mile</t>
  </si>
  <si>
    <t>MMTA Crush Run 5K, Hurricane 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</si>
</sst>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81"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  <dxf>
      <numFmt numFmtId="0" formatCode="General"/>
    </dxf>
    <dxf>
      <numFmt numFmtId="164" formatCode="m/d/yy;@"/>
    </dxf>
    <dxf>
      <numFmt numFmtId="164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349878-AC23-444D-96AB-C93F0E13E593}" name="CKnodrach" displayName="CKnodrach" ref="B4:G7" totalsRowCount="1">
  <autoFilter ref="B4:G6" xr:uid="{DD349878-AC23-444D-96AB-C93F0E13E593}"/>
  <tableColumns count="6">
    <tableColumn id="1" xr3:uid="{72761D98-495F-4616-9350-4B1A595B851E}" name="Race" totalsRowLabel="Total"/>
    <tableColumn id="2" xr3:uid="{70CC9F2D-D22A-41AF-9243-7D68808629F3}" name="Date" dataDxfId="80" totalsRowDxfId="79"/>
    <tableColumn id="3" xr3:uid="{312F0167-7171-463D-8900-837FDABC42EB}" name="Award"/>
    <tableColumn id="4" xr3:uid="{5F58F233-F8C1-4B45-B5D7-D2331CC094F0}" name="Award Pts" totalsRowFunction="countNums"/>
    <tableColumn id="5" xr3:uid="{3607DC3F-8190-4390-A5AC-52D0FA532F84}" name="Dist Pts"/>
    <tableColumn id="6" xr3:uid="{7E6F6CE1-396F-4B58-8EF6-D31AC31E2E63}" name="Total" totalsRowFunction="sum" dataDxfId="78">
      <calculatedColumnFormula>SUM(CKnodrach[[#This Row],[Award Pts]:[Dist Pts]])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C1C07B7-7330-43CF-A3F2-075C9F760CDB}" name="KMader" displayName="KMader" ref="B37:G40" totalsRowCount="1">
  <autoFilter ref="B37:G39" xr:uid="{6C1C07B7-7330-43CF-A3F2-075C9F760CDB}"/>
  <tableColumns count="6">
    <tableColumn id="1" xr3:uid="{EF40D6C6-FF9F-4C3D-89BF-A8EEB5DCDF25}" name="Race" totalsRowLabel="Total"/>
    <tableColumn id="2" xr3:uid="{448CC579-DE36-4D8A-B456-9AF937D68109}" name="Date" dataDxfId="53" totalsRowDxfId="52"/>
    <tableColumn id="3" xr3:uid="{EF4861DE-D334-441E-AA45-20A11E7DF939}" name="Award"/>
    <tableColumn id="4" xr3:uid="{CA662B95-FB3B-4108-9DA6-7A2C02F78B09}" name="Award Pts" totalsRowFunction="countNums"/>
    <tableColumn id="5" xr3:uid="{2D5B1662-E8DA-4268-8976-58D65ADA2486}" name="Dist Pts"/>
    <tableColumn id="6" xr3:uid="{E32905A4-0F3A-445F-8719-54B0B1E73986}" name="Total" totalsRowFunction="sum" dataDxfId="51">
      <calculatedColumnFormula>SUM(KMader[[#This Row],[Award Pts]:[Dist Pts]])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44ABCB9-4F1F-4CCD-A338-1F34C78A51D0}" name="KHamilton" displayName="KHamilton" ref="B44:G47" totalsRowCount="1">
  <autoFilter ref="B44:G46" xr:uid="{F44ABCB9-4F1F-4CCD-A338-1F34C78A51D0}"/>
  <tableColumns count="6">
    <tableColumn id="1" xr3:uid="{3FA7D6C8-93E6-427D-971E-BAFB09590668}" name="Race" totalsRowLabel="Total"/>
    <tableColumn id="2" xr3:uid="{DE076F32-1259-41A6-A8D7-D3C46E63A7BD}" name="Date" dataDxfId="50" totalsRowDxfId="49"/>
    <tableColumn id="3" xr3:uid="{67748F69-63EF-4347-9614-693BF8DA500E}" name="Award"/>
    <tableColumn id="4" xr3:uid="{2E6EC9EA-D8E5-4035-8831-C9B53C21F8A5}" name="Award Pts" totalsRowFunction="countNums"/>
    <tableColumn id="5" xr3:uid="{3ADF54AD-A5A6-4F6C-BC33-3194A10E2A3A}" name="Dist Pts"/>
    <tableColumn id="6" xr3:uid="{B5122E24-8EC8-4203-9317-710F654408D4}" name="Total" totalsRowFunction="sum" dataDxfId="48">
      <calculatedColumnFormula>SUM(KHamilton[[#This Row],[Award Pts]:[Dist Pts]])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F1FB71-34BF-45DF-9FBA-F1EC0963E71B}" name="CHein" displayName="CHein" ref="B51:G54" totalsRowCount="1">
  <autoFilter ref="B51:G53" xr:uid="{15F1FB71-34BF-45DF-9FBA-F1EC0963E71B}"/>
  <tableColumns count="6">
    <tableColumn id="1" xr3:uid="{94B56347-8A20-4CAA-B34E-B2EBB457E0ED}" name="Race" totalsRowLabel="Total"/>
    <tableColumn id="2" xr3:uid="{8E1FD736-29C0-4714-B3C8-357C28AB5692}" name="Date" dataDxfId="47" totalsRowDxfId="46"/>
    <tableColumn id="3" xr3:uid="{15B29927-EE92-4095-9D4B-A897DD4E2989}" name="Award"/>
    <tableColumn id="4" xr3:uid="{3AE88155-C18C-4750-BA5C-947680135026}" name="Award Pts" totalsRowFunction="countNums"/>
    <tableColumn id="5" xr3:uid="{7E646855-CE0F-4B9D-A3EA-98B578BB1C09}" name="Dist Pts"/>
    <tableColumn id="6" xr3:uid="{3E6103F4-820F-42C1-9581-32559C1C9A09}" name="Total" totalsRowFunction="sum" dataDxfId="45">
      <calculatedColumnFormula>SUM(CHein[[#This Row],[Award Pts]:[Dist Pts]])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8F7575-8428-4688-A385-F707B5DAB080}" name="AGates" displayName="AGates" ref="B58:G61" totalsRowCount="1">
  <autoFilter ref="B58:G60" xr:uid="{2C8F7575-8428-4688-A385-F707B5DAB080}"/>
  <tableColumns count="6">
    <tableColumn id="1" xr3:uid="{DAF37782-E41A-4AF9-91F0-FD86B5A0D6D4}" name="Race" totalsRowLabel="Total"/>
    <tableColumn id="2" xr3:uid="{A53D22C0-433C-4FDC-8FEA-166F5E172FEF}" name="Date" dataDxfId="44" totalsRowDxfId="43"/>
    <tableColumn id="3" xr3:uid="{D5C1ED48-00EF-4E91-8AB1-C12B40965E36}" name="Award"/>
    <tableColumn id="4" xr3:uid="{2D6D88C5-0E57-48EF-967C-A792E56C0516}" name="Award Pts" totalsRowFunction="countNums"/>
    <tableColumn id="5" xr3:uid="{941ADF24-DA81-4A4E-8E7D-0CAF615B16AD}" name="Dist Pts"/>
    <tableColumn id="6" xr3:uid="{87D1B73E-D67E-44DF-8958-2F095B365421}" name="Total" totalsRowFunction="sum" dataDxfId="42">
      <calculatedColumnFormula>SUM(AGates[[#This Row],[Award Pts]:[Dist Pts]])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7BF9457-4786-4F9A-8428-65F039F09039}" name="ARichter" displayName="ARichter" ref="B65:G68" totalsRowCount="1">
  <autoFilter ref="B65:G67" xr:uid="{37BF9457-4786-4F9A-8428-65F039F09039}"/>
  <tableColumns count="6">
    <tableColumn id="1" xr3:uid="{2717CD5E-0B3F-499D-8CBB-0C22D3B280C3}" name="Race" totalsRowLabel="Total"/>
    <tableColumn id="2" xr3:uid="{DC3B946A-DB98-4A04-BCDB-9BEE3912294A}" name="Date" dataDxfId="41" totalsRowDxfId="40"/>
    <tableColumn id="3" xr3:uid="{31002B40-CF59-4310-86D2-888BD0D3EAE6}" name="Award"/>
    <tableColumn id="4" xr3:uid="{C45C96E1-AD85-49FB-9B2C-F736B6B727AF}" name="Award Pts" totalsRowFunction="countNums"/>
    <tableColumn id="5" xr3:uid="{7DAE8B7F-1D77-499E-8424-29A8EA1D12FD}" name="Dist Pts"/>
    <tableColumn id="6" xr3:uid="{EA11D077-9686-4765-A99C-B169194CEAB0}" name="Total" totalsRowFunction="sum" dataDxfId="39">
      <calculatedColumnFormula>SUM(ARichter[[#This Row],[Award Pts]:[Dist Pts]])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DB097DC-34FD-4213-A97B-7CEC2A6110A3}" name="MRichter" displayName="MRichter" ref="B72:G75" totalsRowCount="1">
  <autoFilter ref="B72:G74" xr:uid="{5DB097DC-34FD-4213-A97B-7CEC2A6110A3}"/>
  <tableColumns count="6">
    <tableColumn id="1" xr3:uid="{4AF998DC-139A-4D53-B77A-E3D41038B522}" name="Race" totalsRowLabel="Total"/>
    <tableColumn id="2" xr3:uid="{1DA05CE5-37BC-4CBD-8B97-4267AAAD8679}" name="Date" dataDxfId="38" totalsRowDxfId="37"/>
    <tableColumn id="3" xr3:uid="{9B07D1CD-9CAF-4E14-9BCC-0A06AD72EC7A}" name="Award"/>
    <tableColumn id="4" xr3:uid="{2B1F5BDE-992F-466B-80FC-6AD90E052E90}" name="Award Pts" totalsRowFunction="countNums"/>
    <tableColumn id="5" xr3:uid="{A6FBDA6B-0A5B-4FF2-9563-6230E5FA2227}" name="Dist Pts"/>
    <tableColumn id="6" xr3:uid="{46A6851B-AC2D-4AC1-A576-4599FCD241F6}" name="Total" totalsRowFunction="sum" dataDxfId="36">
      <calculatedColumnFormula>SUM(MRichter[[#This Row],[Award Pts]:[Dist Pts]])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BCDDB5-40D5-4AD4-B773-846923BE0100}" name="BJahn" displayName="BJahn" ref="B16:G26" totalsRowCount="1">
  <autoFilter ref="B16:G25" xr:uid="{F8BCDDB5-40D5-4AD4-B773-846923BE0100}"/>
  <tableColumns count="6">
    <tableColumn id="1" xr3:uid="{16F4E423-324B-4DEB-87DF-DCA6BFAD1BD3}" name="Race" totalsRowLabel="Total"/>
    <tableColumn id="2" xr3:uid="{1B64548D-15B0-432F-9C53-E031C59DDCF3}" name="Date" dataDxfId="35" totalsRowDxfId="34"/>
    <tableColumn id="3" xr3:uid="{06B8A65F-50E2-4EFA-8BFD-499C4B6E9691}" name="Award"/>
    <tableColumn id="4" xr3:uid="{14744FD6-00D7-403F-8ABB-F8722DFC9C6A}" name="Award Pts" totalsRowFunction="countNums"/>
    <tableColumn id="5" xr3:uid="{373CA865-66EA-4D35-836B-970F1AD300F4}" name="Dist Pts"/>
    <tableColumn id="6" xr3:uid="{8F624DE0-FCBD-43CE-B254-1341AE771BC0}" name="Total" totalsRowFunction="sum" dataDxfId="33">
      <calculatedColumnFormula>SUM(BJahn[[#This Row],[Award Pts]:[Dist Pts]])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02FD4B-F1AF-4648-AB03-33DE7304499A}" name="JMartin" displayName="JMartin" ref="B30:G33" totalsRowCount="1">
  <autoFilter ref="B30:G32" xr:uid="{B102FD4B-F1AF-4648-AB03-33DE7304499A}"/>
  <tableColumns count="6">
    <tableColumn id="1" xr3:uid="{4654D58B-49A6-4CE7-9E06-03820960727B}" name="Race" totalsRowLabel="Total"/>
    <tableColumn id="2" xr3:uid="{2FF753C5-5736-422D-B6D8-D5F16999EA63}" name="Date" dataDxfId="32" totalsRowDxfId="31"/>
    <tableColumn id="3" xr3:uid="{B86BA270-ACCC-468E-9757-E1BD11AA6C99}" name="Award"/>
    <tableColumn id="4" xr3:uid="{3F4D20B1-1C41-429C-9357-5794BD40B4BB}" name="Award Pts" totalsRowFunction="countNums"/>
    <tableColumn id="5" xr3:uid="{2B839D07-726B-400C-A666-8FA9F14BE841}" name="Dist Pts"/>
    <tableColumn id="6" xr3:uid="{BE28E6C9-B34A-44A7-A227-01935B7534E3}" name="Total" totalsRowFunction="sum" dataDxfId="30">
      <calculatedColumnFormula>SUM(JMartin[[#This Row],[Award Pts]:[Dist Pts]])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75D3E17-6D3A-424C-9D3A-1EB71019E27E}" name="CCowan" displayName="CCowan" ref="B78:G82" totalsRowCount="1">
  <autoFilter ref="B78:G81" xr:uid="{275D3E17-6D3A-424C-9D3A-1EB71019E27E}"/>
  <tableColumns count="6">
    <tableColumn id="1" xr3:uid="{FA2A73EA-B811-4E13-BB69-ED31A6FE06D0}" name="Race" totalsRowLabel="Total"/>
    <tableColumn id="2" xr3:uid="{301603F5-156A-4F2E-935B-7DF996BF1578}" name="Date" dataDxfId="29" totalsRowDxfId="28"/>
    <tableColumn id="3" xr3:uid="{77B442E8-6748-4B3D-9341-3AE7C5D06400}" name="Award"/>
    <tableColumn id="4" xr3:uid="{08E5F4E8-3527-4062-8EF4-3C7FA2FDB6F2}" name="Award Pts" totalsRowFunction="countNums"/>
    <tableColumn id="5" xr3:uid="{A186F864-5EAA-4786-A809-F9BBC5E57CED}" name="Dist Pts"/>
    <tableColumn id="6" xr3:uid="{4E81666F-8A86-4EF8-9CB4-E1C52B787D88}" name="Total" totalsRowFunction="sum" dataDxfId="27">
      <calculatedColumnFormula>SUM(CCowan[[#This Row],[Award Pts]:[Dist Pts]])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06600A-0843-462B-9256-76FE7DACDDED}" name="SFrame" displayName="SFrame" ref="B85:G88" totalsRowCount="1">
  <autoFilter ref="B85:G87" xr:uid="{C706600A-0843-462B-9256-76FE7DACDDED}"/>
  <tableColumns count="6">
    <tableColumn id="1" xr3:uid="{9EAA90C1-25A4-438D-9FD9-64AF2C3A5855}" name="Race" totalsRowLabel="Total"/>
    <tableColumn id="2" xr3:uid="{3B541FBA-82D0-4A04-858B-618FF78CD89E}" name="Date" dataDxfId="26" totalsRowDxfId="25"/>
    <tableColumn id="3" xr3:uid="{207824F7-5106-41B7-A606-D83D941BC010}" name="Award"/>
    <tableColumn id="4" xr3:uid="{5BD1DDBB-BEAD-4CD8-98C6-4553B951932A}" name="Award Pts" totalsRowFunction="countNums"/>
    <tableColumn id="5" xr3:uid="{67BEBC5A-636A-461B-B1B7-1F0360C99182}" name="Dist Pts"/>
    <tableColumn id="6" xr3:uid="{43274453-3606-4B49-A231-7D5D2EB13BB7}" name="Total" totalsRowFunction="sum" dataDxfId="24">
      <calculatedColumnFormula>SUM(SFrame[[#This Row],[Award Pts]:[Dist Pts]])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4F53A1-CDC7-4D35-9B0E-16FC884EACC8}" name="Bphillips" displayName="Bphillips" ref="B54:G57" totalsRowCount="1">
  <autoFilter ref="B54:G56" xr:uid="{F44F53A1-CDC7-4D35-9B0E-16FC884EACC8}"/>
  <tableColumns count="6">
    <tableColumn id="1" xr3:uid="{EA4A690C-BDEC-4699-8817-875C236F10CF}" name="Race" totalsRowLabel="Total"/>
    <tableColumn id="2" xr3:uid="{BFC50760-9EA2-4A05-8138-A4E2398271B9}" name="Date" dataDxfId="77" totalsRowDxfId="76"/>
    <tableColumn id="3" xr3:uid="{29A81E87-B3F0-495A-AFE2-EB8C9778B1C3}" name="Award"/>
    <tableColumn id="4" xr3:uid="{80AC8B05-3F9E-4E6B-A88F-4F2E45A0CB86}" name="Award Pts" totalsRowFunction="countNums"/>
    <tableColumn id="5" xr3:uid="{79BB5014-D266-446E-BF11-DEC91F266114}" name="Dist Pts"/>
    <tableColumn id="6" xr3:uid="{4D520D26-AA0E-4859-8EFB-04811C41CF2E}" name="Total" totalsRowFunction="sum" dataDxfId="75">
      <calculatedColumnFormula>SUM(Bphillips[[#This Row],[Award Pts]:[Dist Pts]])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3ECBC41-31FC-4FD0-A6E9-B83B11A22A84}" name="PAddis" displayName="PAddis" ref="B15:G18" totalsRowCount="1">
  <autoFilter ref="B15:G17" xr:uid="{13ECBC41-31FC-4FD0-A6E9-B83B11A22A84}"/>
  <tableColumns count="6">
    <tableColumn id="1" xr3:uid="{9746D94D-05B5-48B0-B153-D0E872BA6E2F}" name="Race" totalsRowLabel="Total"/>
    <tableColumn id="2" xr3:uid="{2719A828-DF58-4FE0-81F8-B2D85ACA0AF1}" name="Date" dataDxfId="23" totalsRowDxfId="22"/>
    <tableColumn id="3" xr3:uid="{0FCD2766-8C41-43D5-B896-817EEFF454CC}" name="Award"/>
    <tableColumn id="4" xr3:uid="{AD94AD35-048B-4593-BE5A-718D5D120086}" name="Award Pts" totalsRowFunction="countNums"/>
    <tableColumn id="5" xr3:uid="{DBE89228-B9CB-42E4-8671-16C5A546D5BF}" name="Dist Pts"/>
    <tableColumn id="6" xr3:uid="{B0B8F00A-27BF-494A-8F70-D59E89FB64C6}" name="Total" totalsRowFunction="sum" dataDxfId="21">
      <calculatedColumnFormula>SUM(PAddis[[#This Row],[Award Pts]:[Dist Pts]])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5478B9-F6D4-40F5-89F7-ECF5D26D3BD2}" name="SHitt" displayName="SHitt" ref="B29:G34" totalsRowCount="1">
  <autoFilter ref="B29:G33" xr:uid="{ED5478B9-F6D4-40F5-89F7-ECF5D26D3BD2}"/>
  <tableColumns count="6">
    <tableColumn id="1" xr3:uid="{1183E4A2-3B8C-452A-9461-B2EE165D39DA}" name="Race" totalsRowLabel="Total"/>
    <tableColumn id="2" xr3:uid="{0027DA5E-F514-4F90-8CEB-94693875E178}" name="Date" dataDxfId="20" totalsRowDxfId="19"/>
    <tableColumn id="3" xr3:uid="{A241768E-5971-439A-9FBC-3F14B4780C23}" name="Award"/>
    <tableColumn id="4" xr3:uid="{22A782F8-DC96-45E8-A674-7CA4A26878CF}" name="Award Pts" totalsRowFunction="countNums"/>
    <tableColumn id="5" xr3:uid="{5749B539-4455-4BE3-A490-4D02173CA74C}" name="Dist Pts"/>
    <tableColumn id="6" xr3:uid="{F4E5830B-3E28-4898-A56D-211C342C0A61}" name="Total" totalsRowFunction="sum" dataDxfId="18">
      <calculatedColumnFormula>SUM(SHitt[[#This Row],[Award Pts]:[Dist Pts]])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8EFF823-E0E0-478E-AC00-33194CF078A6}" name="AFerguson" displayName="AFerguson" ref="B38:G43" totalsRowCount="1">
  <autoFilter ref="B38:G42" xr:uid="{68EFF823-E0E0-478E-AC00-33194CF078A6}"/>
  <tableColumns count="6">
    <tableColumn id="1" xr3:uid="{FE75EB05-CFB6-4885-AC51-7CCFF8A6B32D}" name="Race" totalsRowLabel="Total"/>
    <tableColumn id="2" xr3:uid="{FC638C5E-DF62-4566-9C7C-11234DE8DC9C}" name="Date" dataDxfId="17" totalsRowDxfId="16"/>
    <tableColumn id="3" xr3:uid="{FB1F6688-413F-4DED-AA6E-F44E1FC76F39}" name="Award"/>
    <tableColumn id="4" xr3:uid="{C668D768-BF0A-4F34-B69F-BA38A736C21F}" name="Award Pts" totalsRowFunction="countNums"/>
    <tableColumn id="5" xr3:uid="{E47C82A2-C8EF-4E58-AE81-048BA35FF3AE}" name="Dist Pts"/>
    <tableColumn id="6" xr3:uid="{51A3028B-2745-4DEA-AB2A-E53CFFFEB804}" name="Total" totalsRowFunction="sum" dataDxfId="15">
      <calculatedColumnFormula>SUM(AFerguson[[#This Row],[Award Pts]:[Dist Pts]])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3D5CAAB-CF03-422B-A8B3-EAC688830BA4}" name="DCline" displayName="DCline" ref="B4:G11" totalsRowCount="1">
  <autoFilter ref="B4:G10" xr:uid="{B3D5CAAB-CF03-422B-A8B3-EAC688830BA4}"/>
  <tableColumns count="6">
    <tableColumn id="1" xr3:uid="{DAC8DF65-5E58-4D4C-8E5C-30A915A3FA11}" name="Race" totalsRowLabel="Total"/>
    <tableColumn id="2" xr3:uid="{2C985F37-1D1A-49C1-9F79-814EB8AA776B}" name="Date" dataDxfId="14" totalsRowDxfId="13"/>
    <tableColumn id="3" xr3:uid="{243B87D8-5F1D-46B7-B1EA-2EFFCA021FA0}" name="Award"/>
    <tableColumn id="4" xr3:uid="{B04204F3-15A0-440B-890E-CA5515415FD0}" name="Award Pts" totalsRowFunction="countNums"/>
    <tableColumn id="5" xr3:uid="{8BE22517-9B10-4986-9441-DD78D03CF725}" name="Dist Pts"/>
    <tableColumn id="6" xr3:uid="{57B9C720-44F4-42ED-A5EC-EF587BC7048F}" name="Total" totalsRowFunction="sum" dataDxfId="12">
      <calculatedColumnFormula>SUM(DCline[[#This Row],[Award Pts]:[Dist Pts]])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CDF328D-B638-459E-8662-E480D266F669}" name="DAddis" displayName="DAddis" ref="B22:G25" totalsRowCount="1">
  <autoFilter ref="B22:G24" xr:uid="{6CDF328D-B638-459E-8662-E480D266F669}"/>
  <tableColumns count="6">
    <tableColumn id="1" xr3:uid="{A0CD48C6-26E7-4756-A8C2-7CD9BB9C57E4}" name="Race" totalsRowLabel="Total"/>
    <tableColumn id="2" xr3:uid="{4E639B3F-7D75-41D1-8DDD-7DDCDCD7245D}" name="Date" dataDxfId="11" totalsRowDxfId="10"/>
    <tableColumn id="3" xr3:uid="{D7128346-DAC9-4068-935D-3EFF001548CC}" name="Award"/>
    <tableColumn id="4" xr3:uid="{443CD280-B794-440F-9C04-51C77C60187E}" name="Award Pts" totalsRowFunction="countNums"/>
    <tableColumn id="5" xr3:uid="{E0C68490-B24F-44FC-A1DA-E6687BFE4D89}" name="Dist Pts"/>
    <tableColumn id="6" xr3:uid="{EAFD74A1-1986-4344-A285-6E539DB650AA}" name="Total" totalsRowFunction="sum" dataDxfId="9">
      <calculatedColumnFormula>SUM(DAddis[[#This Row],[Award Pts]:[Dist Pts]])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48BD4D-DD7E-48BD-B663-B935FE0E7447}" name="CKnodrachR" displayName="CKnodrachR" ref="B4:G11" totalsRowCount="1">
  <autoFilter ref="B4:G10" xr:uid="{8748BD4D-DD7E-48BD-B663-B935FE0E7447}"/>
  <tableColumns count="6">
    <tableColumn id="1" xr3:uid="{31F98F17-89FA-47FA-B1E0-3B05DD4C23B7}" name="Race" totalsRowLabel="Total"/>
    <tableColumn id="2" xr3:uid="{D92D4222-630D-4EE1-8B46-ADEAF11B118D}" name="Date" dataDxfId="8" totalsRowDxfId="7"/>
    <tableColumn id="3" xr3:uid="{FBCF44E3-80B0-4778-BB9E-4E4748B58961}" name="Award"/>
    <tableColumn id="4" xr3:uid="{BE47A9C4-EBFC-4C53-8416-E4397A3EB16A}" name="Award Pts" totalsRowFunction="countNums"/>
    <tableColumn id="5" xr3:uid="{EF8C5E25-06B2-4217-9190-A89A257DBB35}" name="Dist Pts"/>
    <tableColumn id="6" xr3:uid="{1D664881-F3D0-4816-B06D-05DCA22E78FB}" name="Total" totalsRowFunction="sum" dataDxfId="6">
      <calculatedColumnFormula>SUM(CKnodrachR[[#This Row],[Award Pts]:[Dist Pts]])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4A1E21F-DB59-4EA9-B5C8-2350F88D0721}" name="TBuskirkR" displayName="TBuskirkR" ref="B15:G18" totalsRowCount="1">
  <autoFilter ref="B15:G17" xr:uid="{A4A1E21F-DB59-4EA9-B5C8-2350F88D0721}"/>
  <tableColumns count="6">
    <tableColumn id="1" xr3:uid="{05E3B343-67D1-4439-BB79-462275C776F6}" name="Race" totalsRowLabel="Total"/>
    <tableColumn id="2" xr3:uid="{70B14B5C-DF3F-41F2-9129-DB978B89898F}" name="Date" dataDxfId="5" totalsRowDxfId="4"/>
    <tableColumn id="3" xr3:uid="{9A6E2748-78EA-41FF-A308-294F74845358}" name="Award"/>
    <tableColumn id="4" xr3:uid="{D7F8755C-F1E9-4F59-9538-27B2C46E3A12}" name="Award Pts" totalsRowFunction="countNums"/>
    <tableColumn id="5" xr3:uid="{EE57FEEE-10F2-4685-99BC-7B7F9DD9B7A1}" name="Dist Pts"/>
    <tableColumn id="6" xr3:uid="{8CDA7528-2D2E-4554-91E3-E2C525CFD013}" name="Total" totalsRowFunction="sum" dataDxfId="3">
      <calculatedColumnFormula>SUM(TBuskirkR[[#This Row],[Award Pts]:[Dist Pts]])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2CB52E3-BEE4-4391-A360-EEA53ABC05E1}" name="JFrame" displayName="JFrame" ref="B21:G24" totalsRowCount="1">
  <autoFilter ref="B21:G23" xr:uid="{52CB52E3-BEE4-4391-A360-EEA53ABC05E1}"/>
  <tableColumns count="6">
    <tableColumn id="1" xr3:uid="{E1EF2FD9-72AE-41DC-99AA-1281FAC00A96}" name="Race" totalsRowLabel="Total"/>
    <tableColumn id="2" xr3:uid="{28630D44-1BDE-4B38-BD70-AE4443E99D01}" name="Date" dataDxfId="2" totalsRowDxfId="1"/>
    <tableColumn id="3" xr3:uid="{B64722E6-A2C4-4E36-980E-F2F21A362A1B}" name="Award"/>
    <tableColumn id="4" xr3:uid="{9F276231-66F1-46B7-8080-8E5190C004DA}" name="Award Pts" totalsRowFunction="countNums"/>
    <tableColumn id="5" xr3:uid="{0FF618F5-F434-4FAF-A184-4C35894F3C3C}" name="Dist Pts"/>
    <tableColumn id="6" xr3:uid="{F67DD706-0423-431E-854F-C7F302379DAD}" name="Total" totalsRowFunction="sum" dataDxfId="0">
      <calculatedColumnFormula>SUM(JFrame[[#This Row],[Award Pts]:[Dist Pts]])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384FBC-6FD6-4155-ADE3-AB852A18DF51}" name="JMader" displayName="JMader" ref="B11:G14" totalsRowCount="1">
  <autoFilter ref="B11:G13" xr:uid="{2E384FBC-6FD6-4155-ADE3-AB852A18DF51}"/>
  <tableColumns count="6">
    <tableColumn id="1" xr3:uid="{0A383A99-1D13-48F7-A6DB-75F2B77425DA}" name="Race" totalsRowLabel="Total"/>
    <tableColumn id="2" xr3:uid="{E47520BE-07EE-4E7B-A3FA-019A72EE9D67}" name="Date" dataDxfId="74" totalsRowDxfId="73"/>
    <tableColumn id="3" xr3:uid="{8479F7A6-8960-49F4-89F4-7B4076B2DEEE}" name="Award"/>
    <tableColumn id="4" xr3:uid="{BB198367-40F3-49D8-B952-1A8F98EB2A8B}" name="Award Pts" totalsRowFunction="countNums"/>
    <tableColumn id="5" xr3:uid="{F9ACFDC9-D521-455A-82B4-F4C2B6C6E918}" name="Dist Pts"/>
    <tableColumn id="6" xr3:uid="{C3EFC381-CE05-4452-8766-59D1D340FA79}" name="Total" totalsRowFunction="sum" dataDxfId="72">
      <calculatedColumnFormula>SUM(JMader[[#This Row],[Award Pts]:[Dist Pts]])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51AE0-2AB5-4E27-8DE3-7A2607875BF4}" name="REdinger" displayName="REdinger" ref="B19:G22" totalsRowCount="1">
  <autoFilter ref="B19:G21" xr:uid="{7AB51AE0-2AB5-4E27-8DE3-7A2607875BF4}"/>
  <tableColumns count="6">
    <tableColumn id="1" xr3:uid="{36FF0FEF-073F-49A8-BF1F-1836337D5CD6}" name="Race" totalsRowLabel="Total"/>
    <tableColumn id="2" xr3:uid="{D3A30A99-9678-4C4D-8CD5-C2CC4FAD8B73}" name="Date" dataDxfId="71" totalsRowDxfId="70"/>
    <tableColumn id="3" xr3:uid="{FBF55A7F-0ABC-4A21-8846-B503FC43689D}" name="Award"/>
    <tableColumn id="4" xr3:uid="{0B60D6E2-BFF5-454A-9EA6-4793DBFEBB5F}" name="Award Pts" totalsRowFunction="countNums"/>
    <tableColumn id="5" xr3:uid="{42491215-EDCE-4CB1-9CC5-2ECE60EE0F4F}" name="Dist Pts"/>
    <tableColumn id="6" xr3:uid="{437CF160-F48E-44BC-884B-14428F1F4E76}" name="Total" totalsRowFunction="sum" dataDxfId="69">
      <calculatedColumnFormula>SUM(REdinger[[#This Row],[Award Pts]:[Dist Pts]])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69CFF1F-B164-46F5-849E-E265447486C8}" name="JMahaney" displayName="JMahaney" ref="B26:G29" totalsRowCount="1">
  <autoFilter ref="B26:G28" xr:uid="{B69CFF1F-B164-46F5-849E-E265447486C8}"/>
  <tableColumns count="6">
    <tableColumn id="1" xr3:uid="{E623EC71-0287-4534-BFA9-25A4DE73C103}" name="Race" totalsRowLabel="Total"/>
    <tableColumn id="2" xr3:uid="{03B6492B-1E84-481F-B805-2D3B0669132E}" name="Date" dataDxfId="68" totalsRowDxfId="67"/>
    <tableColumn id="3" xr3:uid="{2B4C42E9-EB38-4EAE-8204-F95489F8445F}" name="Award"/>
    <tableColumn id="4" xr3:uid="{9B273EAD-DACF-4172-A736-21AA953A8429}" name="Award Pts" totalsRowFunction="countNums"/>
    <tableColumn id="5" xr3:uid="{A23DCCC5-712E-442E-8CF7-43EE19467FDC}" name="Dist Pts"/>
    <tableColumn id="6" xr3:uid="{53204FA5-94F1-4EEA-9B07-8938E7732BDF}" name="Total" totalsRowFunction="sum" dataDxfId="66">
      <calculatedColumnFormula>SUM(JMahaney[[#This Row],[Award Pts]:[Dist Pts]])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E846829-2DFA-45D8-8F09-BB5BCC7A887D}" name="CBrock" displayName="CBrock" ref="B33:G36" totalsRowCount="1">
  <autoFilter ref="B33:G35" xr:uid="{5E846829-2DFA-45D8-8F09-BB5BCC7A887D}"/>
  <tableColumns count="6">
    <tableColumn id="1" xr3:uid="{843D0DCA-ED2B-4AF1-8A16-538241BB36D7}" name="Race" totalsRowLabel="Total"/>
    <tableColumn id="2" xr3:uid="{E8C1CECB-B41F-4656-B7A9-11664CA4CD2F}" name="Date" dataDxfId="65" totalsRowDxfId="64"/>
    <tableColumn id="3" xr3:uid="{3165285F-7907-4E45-B3AC-2DD2E8FA8D53}" name="Award"/>
    <tableColumn id="4" xr3:uid="{86489BE0-E017-4408-A4F0-CE4C5700AAC4}" name="Award Pts" totalsRowFunction="countNums"/>
    <tableColumn id="5" xr3:uid="{1615F185-2E73-4646-B0FF-056E5787591E}" name="Dist Pts"/>
    <tableColumn id="6" xr3:uid="{D674AE45-EBEA-4407-A89E-D1F6B5525CB3}" name="Total" totalsRowFunction="sum" dataDxfId="63">
      <calculatedColumnFormula>SUM(CBrock[[#This Row],[Award Pts]:[Dist Pts]])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B5C6-F470-4725-87AB-74E89FD3E44C}" name="TBuskirk" displayName="TBuskirk" ref="B40:G43" totalsRowCount="1">
  <autoFilter ref="B40:G42" xr:uid="{1079B5C6-F470-4725-87AB-74E89FD3E44C}"/>
  <tableColumns count="6">
    <tableColumn id="1" xr3:uid="{D03388E4-42AA-48D4-A32D-137540EFA656}" name="Race" totalsRowLabel="Total"/>
    <tableColumn id="2" xr3:uid="{9F07D2D7-FA3E-4B66-8105-47E35B9E86A4}" name="Date" dataDxfId="62" totalsRowDxfId="61"/>
    <tableColumn id="3" xr3:uid="{87F7252E-C05B-4B24-8049-61FD0304B3DF}" name="Award"/>
    <tableColumn id="4" xr3:uid="{934E5617-C84E-49E1-B448-3CC6EF9087DF}" name="Award Pts" totalsRowFunction="countNums"/>
    <tableColumn id="5" xr3:uid="{7D4EB348-F1A8-49B8-95B9-43DBE8A0261A}" name="Dist Pts"/>
    <tableColumn id="6" xr3:uid="{D5823F6E-BEE9-41EA-83B4-00EE91F4F99B}" name="Total" totalsRowFunction="sum" dataDxfId="60">
      <calculatedColumnFormula>SUM(TBuskirk[[#This Row],[Award Pts]:[Dist Pts]])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0EA88A8-1AC9-4DCF-BB87-73112F7DA710}" name="BHeddleston" displayName="BHeddleston" ref="B46:G50" totalsRowCount="1">
  <autoFilter ref="B46:G49" xr:uid="{C0EA88A8-1AC9-4DCF-BB87-73112F7DA710}"/>
  <tableColumns count="6">
    <tableColumn id="1" xr3:uid="{69673AB7-42BC-4874-9B2C-8BAFEFFD82FB}" name="Race" totalsRowLabel="Total"/>
    <tableColumn id="2" xr3:uid="{048F05A1-ECC0-41F0-A3F4-9537B26A6C27}" name="Date" dataDxfId="59" totalsRowDxfId="58"/>
    <tableColumn id="3" xr3:uid="{459DD1EF-36C7-42C6-87F4-67F41D390D9B}" name="Award"/>
    <tableColumn id="4" xr3:uid="{2DAC6ED7-F8E5-4A18-A78B-0E3377C655B4}" name="Award Pts" totalsRowFunction="countNums"/>
    <tableColumn id="5" xr3:uid="{F1C77F7A-F843-4497-B4B3-23F077CB6DDA}" name="Dist Pts"/>
    <tableColumn id="6" xr3:uid="{F7D44C0A-6C69-46A8-9F72-356061841D53}" name="Total" totalsRowFunction="sum" dataDxfId="57">
      <calculatedColumnFormula>SUM(BHeddleston[[#This Row],[Award Pts]:[Dist Pts]])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8FAE94-A64D-4D45-83DB-7BABCE3DD694}" name="DStout" displayName="DStout" ref="B4:G12" totalsRowCount="1">
  <autoFilter ref="B4:G11" xr:uid="{E68FAE94-A64D-4D45-83DB-7BABCE3DD694}"/>
  <tableColumns count="6">
    <tableColumn id="1" xr3:uid="{829C4582-3D4D-40E9-8EFF-DC35448BF3EE}" name="Race" totalsRowLabel="Total"/>
    <tableColumn id="2" xr3:uid="{8868EE1F-B6DC-4F76-AC00-FA744B7B2413}" name="Date" dataDxfId="56" totalsRowDxfId="55"/>
    <tableColumn id="3" xr3:uid="{4C0A06E0-D967-4214-BA54-503A27376EE2}" name="Award"/>
    <tableColumn id="4" xr3:uid="{381C9B6C-A0A7-4393-9BA6-CDE3BC475718}" name="Award Pts" totalsRowFunction="countNums"/>
    <tableColumn id="5" xr3:uid="{D7B77F23-4C73-4CB4-9B9A-28DF523E7BBB}" name="Dist Pts"/>
    <tableColumn id="6" xr3:uid="{C44A0359-FF81-4241-8423-E17F13E7D673}" name="Total" totalsRowFunction="sum" dataDxfId="54">
      <calculatedColumnFormula>SUM(DStout[[#This Row],[Award Pts]:[Dist Pts]])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6" Type="http://schemas.openxmlformats.org/officeDocument/2006/relationships/table" Target="../tables/table14.xml"/><Relationship Id="rId11" Type="http://schemas.openxmlformats.org/officeDocument/2006/relationships/table" Target="../tables/table19.xml"/><Relationship Id="rId5" Type="http://schemas.openxmlformats.org/officeDocument/2006/relationships/table" Target="../tables/table13.xml"/><Relationship Id="rId10" Type="http://schemas.openxmlformats.org/officeDocument/2006/relationships/table" Target="../tables/table18.xml"/><Relationship Id="rId4" Type="http://schemas.openxmlformats.org/officeDocument/2006/relationships/table" Target="../tables/table12.xml"/><Relationship Id="rId9" Type="http://schemas.openxmlformats.org/officeDocument/2006/relationships/table" Target="../tables/table1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table" Target="../tables/table20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CF78-D69A-4E5E-BEEE-CD9C6B04B35C}">
  <dimension ref="B2:G57"/>
  <sheetViews>
    <sheetView topLeftCell="A19" workbookViewId="0">
      <selection activeCell="F50" sqref="F50"/>
    </sheetView>
  </sheetViews>
  <sheetFormatPr defaultRowHeight="15" x14ac:dyDescent="0.25"/>
  <cols>
    <col min="2" max="2" width="30.7109375" bestFit="1" customWidth="1"/>
    <col min="3" max="3" width="9.42578125" style="2" customWidth="1"/>
    <col min="5" max="5" width="12" customWidth="1"/>
    <col min="6" max="6" width="9.7109375" customWidth="1"/>
  </cols>
  <sheetData>
    <row r="2" spans="2:7" ht="21" thickBot="1" x14ac:dyDescent="0.35">
      <c r="B2" s="5" t="s">
        <v>7</v>
      </c>
      <c r="C2" s="5"/>
      <c r="D2" s="5"/>
      <c r="E2" s="5"/>
      <c r="F2" s="5"/>
      <c r="G2" s="5"/>
    </row>
    <row r="3" spans="2:7" ht="16.5" thickBot="1" x14ac:dyDescent="0.3">
      <c r="B3" s="4" t="s">
        <v>12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51</v>
      </c>
      <c r="C5" s="2">
        <v>46046</v>
      </c>
      <c r="D5" t="s">
        <v>16</v>
      </c>
      <c r="E5">
        <v>0</v>
      </c>
      <c r="F5">
        <v>26.2</v>
      </c>
      <c r="G5">
        <f>SUM(CKnodrach[[#This Row],[Award Pts]:[Dist Pts]])</f>
        <v>26.2</v>
      </c>
    </row>
    <row r="6" spans="2:7" x14ac:dyDescent="0.25">
      <c r="B6" t="s">
        <v>68</v>
      </c>
      <c r="C6" s="2">
        <v>46060</v>
      </c>
      <c r="D6" t="s">
        <v>16</v>
      </c>
      <c r="E6">
        <v>0</v>
      </c>
      <c r="F6">
        <v>26.2</v>
      </c>
      <c r="G6">
        <f>SUM(CKnodrach[[#This Row],[Award Pts]:[Dist Pts]])</f>
        <v>26.2</v>
      </c>
    </row>
    <row r="7" spans="2:7" x14ac:dyDescent="0.25">
      <c r="B7" t="s">
        <v>5</v>
      </c>
      <c r="E7">
        <f>SUBTOTAL(102,CKnodrach[Award Pts])</f>
        <v>2</v>
      </c>
      <c r="G7">
        <f>SUBTOTAL(109,CKnodrach[Total])</f>
        <v>52.4</v>
      </c>
    </row>
    <row r="9" spans="2:7" ht="15.75" thickBot="1" x14ac:dyDescent="0.3"/>
    <row r="10" spans="2:7" ht="16.5" thickBot="1" x14ac:dyDescent="0.3">
      <c r="B10" s="4" t="s">
        <v>10</v>
      </c>
      <c r="C10" s="4"/>
      <c r="D10" s="4"/>
      <c r="E10" s="4"/>
      <c r="F10" s="4"/>
      <c r="G10" s="4"/>
    </row>
    <row r="11" spans="2:7" x14ac:dyDescent="0.25">
      <c r="B11" t="s">
        <v>0</v>
      </c>
      <c r="C11" s="2" t="s">
        <v>1</v>
      </c>
      <c r="D11" t="s">
        <v>2</v>
      </c>
      <c r="E11" t="s">
        <v>3</v>
      </c>
      <c r="F11" t="s">
        <v>4</v>
      </c>
      <c r="G11" t="s">
        <v>5</v>
      </c>
    </row>
    <row r="12" spans="2:7" x14ac:dyDescent="0.25">
      <c r="B12" s="1" t="s">
        <v>8</v>
      </c>
      <c r="C12" s="2">
        <v>46033</v>
      </c>
      <c r="D12" t="s">
        <v>11</v>
      </c>
      <c r="E12">
        <v>10</v>
      </c>
      <c r="F12">
        <v>3.1</v>
      </c>
      <c r="G12">
        <f>SUM(JMader[[#This Row],[Award Pts]:[Dist Pts]])</f>
        <v>13.1</v>
      </c>
    </row>
    <row r="13" spans="2:7" x14ac:dyDescent="0.25">
      <c r="B13" t="s">
        <v>54</v>
      </c>
      <c r="C13" s="2">
        <v>46068</v>
      </c>
      <c r="D13" t="s">
        <v>11</v>
      </c>
      <c r="E13">
        <v>10</v>
      </c>
      <c r="F13">
        <v>3.1</v>
      </c>
      <c r="G13">
        <f>SUM(JMader[[#This Row],[Award Pts]:[Dist Pts]])</f>
        <v>13.1</v>
      </c>
    </row>
    <row r="14" spans="2:7" x14ac:dyDescent="0.25">
      <c r="B14" t="s">
        <v>5</v>
      </c>
      <c r="E14">
        <f>SUBTOTAL(102,JMader[Award Pts])</f>
        <v>2</v>
      </c>
      <c r="G14">
        <f>SUBTOTAL(109,JMader[Total])</f>
        <v>26.2</v>
      </c>
    </row>
    <row r="17" spans="2:7" ht="15.75" thickBot="1" x14ac:dyDescent="0.3"/>
    <row r="18" spans="2:7" ht="16.5" thickBot="1" x14ac:dyDescent="0.3">
      <c r="B18" s="4" t="s">
        <v>29</v>
      </c>
      <c r="C18" s="4"/>
      <c r="D18" s="4"/>
      <c r="E18" s="4"/>
      <c r="F18" s="4"/>
      <c r="G18" s="4"/>
    </row>
    <row r="19" spans="2:7" x14ac:dyDescent="0.25">
      <c r="B19" t="s">
        <v>0</v>
      </c>
      <c r="C19" s="2" t="s">
        <v>1</v>
      </c>
      <c r="D19" t="s">
        <v>2</v>
      </c>
      <c r="E19" t="s">
        <v>3</v>
      </c>
      <c r="F19" t="s">
        <v>4</v>
      </c>
      <c r="G19" t="s">
        <v>5</v>
      </c>
    </row>
    <row r="20" spans="2:7" x14ac:dyDescent="0.25">
      <c r="B20" s="1"/>
      <c r="G20">
        <f>SUM(REdinger[[#This Row],[Award Pts]:[Dist Pts]])</f>
        <v>0</v>
      </c>
    </row>
    <row r="21" spans="2:7" x14ac:dyDescent="0.25">
      <c r="G21">
        <f>SUM(REdinger[[#This Row],[Award Pts]:[Dist Pts]])</f>
        <v>0</v>
      </c>
    </row>
    <row r="22" spans="2:7" x14ac:dyDescent="0.25">
      <c r="B22" t="s">
        <v>5</v>
      </c>
      <c r="E22">
        <f>SUBTOTAL(102,REdinger[Award Pts])</f>
        <v>0</v>
      </c>
      <c r="G22">
        <f>SUBTOTAL(109,REdinger[Total])</f>
        <v>0</v>
      </c>
    </row>
    <row r="24" spans="2:7" ht="15.75" thickBot="1" x14ac:dyDescent="0.3"/>
    <row r="25" spans="2:7" ht="16.5" thickBot="1" x14ac:dyDescent="0.3">
      <c r="B25" s="4" t="s">
        <v>43</v>
      </c>
      <c r="C25" s="4"/>
      <c r="D25" s="4"/>
      <c r="E25" s="4"/>
      <c r="F25" s="4"/>
      <c r="G25" s="4"/>
    </row>
    <row r="26" spans="2:7" x14ac:dyDescent="0.25">
      <c r="B26" t="s">
        <v>0</v>
      </c>
      <c r="C26" s="2" t="s">
        <v>1</v>
      </c>
      <c r="D26" t="s">
        <v>2</v>
      </c>
      <c r="E26" t="s">
        <v>3</v>
      </c>
      <c r="F26" t="s">
        <v>4</v>
      </c>
      <c r="G26" t="s">
        <v>5</v>
      </c>
    </row>
    <row r="27" spans="2:7" x14ac:dyDescent="0.25">
      <c r="B27" t="s">
        <v>54</v>
      </c>
      <c r="C27" s="2">
        <v>46068</v>
      </c>
      <c r="D27" t="s">
        <v>9</v>
      </c>
      <c r="E27">
        <v>5</v>
      </c>
      <c r="F27">
        <v>3.1</v>
      </c>
      <c r="G27">
        <f>SUM(JMahaney[[#This Row],[Award Pts]:[Dist Pts]])</f>
        <v>8.1</v>
      </c>
    </row>
    <row r="28" spans="2:7" x14ac:dyDescent="0.25">
      <c r="G28">
        <f>SUM(JMahaney[[#This Row],[Award Pts]:[Dist Pts]])</f>
        <v>0</v>
      </c>
    </row>
    <row r="29" spans="2:7" x14ac:dyDescent="0.25">
      <c r="B29" t="s">
        <v>5</v>
      </c>
      <c r="E29">
        <f>SUBTOTAL(102,JMahaney[Award Pts])</f>
        <v>1</v>
      </c>
      <c r="G29">
        <f>SUBTOTAL(109,JMahaney[Total])</f>
        <v>8.1</v>
      </c>
    </row>
    <row r="31" spans="2:7" ht="15.75" thickBot="1" x14ac:dyDescent="0.3"/>
    <row r="32" spans="2:7" ht="16.5" thickBot="1" x14ac:dyDescent="0.3">
      <c r="B32" s="4" t="s">
        <v>44</v>
      </c>
      <c r="C32" s="4"/>
      <c r="D32" s="4"/>
      <c r="E32" s="4"/>
      <c r="F32" s="4"/>
      <c r="G32" s="4"/>
    </row>
    <row r="33" spans="2:7" x14ac:dyDescent="0.25">
      <c r="B33" t="s">
        <v>0</v>
      </c>
      <c r="C33" s="2" t="s">
        <v>1</v>
      </c>
      <c r="D33" t="s">
        <v>2</v>
      </c>
      <c r="E33" t="s">
        <v>3</v>
      </c>
      <c r="F33" t="s">
        <v>4</v>
      </c>
      <c r="G33" t="s">
        <v>5</v>
      </c>
    </row>
    <row r="34" spans="2:7" x14ac:dyDescent="0.25">
      <c r="B34" s="1"/>
      <c r="G34">
        <f>SUM(CBrock[[#This Row],[Award Pts]:[Dist Pts]])</f>
        <v>0</v>
      </c>
    </row>
    <row r="35" spans="2:7" x14ac:dyDescent="0.25">
      <c r="G35">
        <f>SUM(CBrock[[#This Row],[Award Pts]:[Dist Pts]])</f>
        <v>0</v>
      </c>
    </row>
    <row r="36" spans="2:7" x14ac:dyDescent="0.25">
      <c r="B36" t="s">
        <v>5</v>
      </c>
      <c r="E36">
        <f>SUBTOTAL(102,CBrock[Award Pts])</f>
        <v>0</v>
      </c>
      <c r="G36">
        <f>SUBTOTAL(109,CBrock[Total])</f>
        <v>0</v>
      </c>
    </row>
    <row r="38" spans="2:7" ht="15.75" thickBot="1" x14ac:dyDescent="0.3"/>
    <row r="39" spans="2:7" ht="16.5" thickBot="1" x14ac:dyDescent="0.3">
      <c r="B39" s="4" t="s">
        <v>52</v>
      </c>
      <c r="C39" s="4"/>
      <c r="D39" s="4"/>
      <c r="E39" s="4"/>
      <c r="F39" s="4"/>
      <c r="G39" s="4"/>
    </row>
    <row r="40" spans="2:7" x14ac:dyDescent="0.25">
      <c r="B40" t="s">
        <v>0</v>
      </c>
      <c r="C40" s="2" t="s">
        <v>1</v>
      </c>
      <c r="D40" t="s">
        <v>2</v>
      </c>
      <c r="E40" t="s">
        <v>3</v>
      </c>
      <c r="F40" t="s">
        <v>4</v>
      </c>
      <c r="G40" t="s">
        <v>5</v>
      </c>
    </row>
    <row r="41" spans="2:7" x14ac:dyDescent="0.25">
      <c r="B41" s="1"/>
      <c r="G41">
        <f>SUM(TBuskirk[[#This Row],[Award Pts]:[Dist Pts]])</f>
        <v>0</v>
      </c>
    </row>
    <row r="42" spans="2:7" x14ac:dyDescent="0.25">
      <c r="G42">
        <f>SUM(TBuskirk[[#This Row],[Award Pts]:[Dist Pts]])</f>
        <v>0</v>
      </c>
    </row>
    <row r="43" spans="2:7" x14ac:dyDescent="0.25">
      <c r="B43" t="s">
        <v>5</v>
      </c>
      <c r="E43">
        <f>SUBTOTAL(102,TBuskirk[Award Pts])</f>
        <v>0</v>
      </c>
      <c r="G43">
        <f>SUBTOTAL(109,TBuskirk[Total])</f>
        <v>0</v>
      </c>
    </row>
    <row r="44" spans="2:7" ht="15.75" thickBot="1" x14ac:dyDescent="0.3"/>
    <row r="45" spans="2:7" ht="15.75" x14ac:dyDescent="0.25">
      <c r="B45" s="6" t="s">
        <v>53</v>
      </c>
      <c r="C45" s="6"/>
      <c r="D45" s="6"/>
      <c r="E45" s="6"/>
      <c r="F45" s="6"/>
      <c r="G45" s="6"/>
    </row>
    <row r="46" spans="2:7" x14ac:dyDescent="0.25">
      <c r="B46" t="s">
        <v>0</v>
      </c>
      <c r="C46" s="2" t="s">
        <v>1</v>
      </c>
      <c r="D46" t="s">
        <v>2</v>
      </c>
      <c r="E46" t="s">
        <v>3</v>
      </c>
      <c r="F46" t="s">
        <v>4</v>
      </c>
      <c r="G46" t="s">
        <v>5</v>
      </c>
    </row>
    <row r="47" spans="2:7" x14ac:dyDescent="0.25">
      <c r="B47" s="1" t="s">
        <v>8</v>
      </c>
      <c r="C47" s="2">
        <v>46033</v>
      </c>
      <c r="D47" t="s">
        <v>21</v>
      </c>
      <c r="E47">
        <v>3</v>
      </c>
      <c r="F47">
        <v>3.1</v>
      </c>
      <c r="G47">
        <f>SUM(BHeddleston[[#This Row],[Award Pts]:[Dist Pts]])</f>
        <v>6.1</v>
      </c>
    </row>
    <row r="48" spans="2:7" x14ac:dyDescent="0.25">
      <c r="B48" t="s">
        <v>55</v>
      </c>
      <c r="C48" s="2">
        <v>46070</v>
      </c>
      <c r="D48" t="s">
        <v>16</v>
      </c>
      <c r="E48">
        <v>0</v>
      </c>
      <c r="F48">
        <v>3.1</v>
      </c>
      <c r="G48">
        <f>SUM(BHeddleston[[#This Row],[Award Pts]:[Dist Pts]])</f>
        <v>3.1</v>
      </c>
    </row>
    <row r="49" spans="2:7" x14ac:dyDescent="0.25">
      <c r="B49" t="s">
        <v>72</v>
      </c>
      <c r="C49" s="2">
        <v>46074</v>
      </c>
      <c r="D49" t="s">
        <v>16</v>
      </c>
      <c r="E49">
        <v>0</v>
      </c>
      <c r="F49">
        <v>1.1000000000000001</v>
      </c>
      <c r="G49">
        <f>SUM(BHeddleston[[#This Row],[Award Pts]:[Dist Pts]])</f>
        <v>1.1000000000000001</v>
      </c>
    </row>
    <row r="50" spans="2:7" x14ac:dyDescent="0.25">
      <c r="B50" t="s">
        <v>5</v>
      </c>
      <c r="E50">
        <f>SUBTOTAL(102,BHeddleston[Award Pts])</f>
        <v>3</v>
      </c>
      <c r="G50">
        <f>SUBTOTAL(109,BHeddleston[Total])</f>
        <v>10.299999999999999</v>
      </c>
    </row>
    <row r="52" spans="2:7" ht="15.75" thickBot="1" x14ac:dyDescent="0.3"/>
    <row r="53" spans="2:7" ht="15.75" x14ac:dyDescent="0.25">
      <c r="B53" s="6" t="s">
        <v>6</v>
      </c>
      <c r="C53" s="6"/>
      <c r="D53" s="6"/>
      <c r="E53" s="6"/>
      <c r="F53" s="6"/>
      <c r="G53" s="6"/>
    </row>
    <row r="54" spans="2:7" x14ac:dyDescent="0.25">
      <c r="B54" t="s">
        <v>0</v>
      </c>
      <c r="C54" s="2" t="s">
        <v>1</v>
      </c>
      <c r="D54" t="s">
        <v>2</v>
      </c>
      <c r="E54" t="s">
        <v>3</v>
      </c>
      <c r="F54" t="s">
        <v>4</v>
      </c>
      <c r="G54" t="s">
        <v>5</v>
      </c>
    </row>
    <row r="55" spans="2:7" x14ac:dyDescent="0.25">
      <c r="B55" s="1" t="s">
        <v>8</v>
      </c>
      <c r="C55" s="2">
        <v>46033</v>
      </c>
      <c r="D55" t="s">
        <v>9</v>
      </c>
      <c r="E55">
        <v>5</v>
      </c>
      <c r="F55">
        <v>3.1</v>
      </c>
      <c r="G55">
        <f>SUM(Bphillips[[#This Row],[Award Pts]:[Dist Pts]])</f>
        <v>8.1</v>
      </c>
    </row>
    <row r="56" spans="2:7" x14ac:dyDescent="0.25">
      <c r="B56" t="s">
        <v>54</v>
      </c>
      <c r="C56" s="2">
        <v>46068</v>
      </c>
      <c r="D56" t="s">
        <v>9</v>
      </c>
      <c r="E56">
        <v>5</v>
      </c>
      <c r="F56">
        <v>3.1</v>
      </c>
      <c r="G56">
        <f>SUM(Bphillips[[#This Row],[Award Pts]:[Dist Pts]])</f>
        <v>8.1</v>
      </c>
    </row>
    <row r="57" spans="2:7" x14ac:dyDescent="0.25">
      <c r="B57" t="s">
        <v>5</v>
      </c>
      <c r="E57">
        <f>SUBTOTAL(102,Bphillips[Award Pts])</f>
        <v>2</v>
      </c>
      <c r="G57">
        <f>SUBTOTAL(109,Bphillips[Total])</f>
        <v>16.2</v>
      </c>
    </row>
  </sheetData>
  <mergeCells count="9">
    <mergeCell ref="B3:G3"/>
    <mergeCell ref="B2:G2"/>
    <mergeCell ref="B10:G10"/>
    <mergeCell ref="B53:G53"/>
    <mergeCell ref="B18:G18"/>
    <mergeCell ref="B25:G25"/>
    <mergeCell ref="B32:G32"/>
    <mergeCell ref="B39:G39"/>
    <mergeCell ref="B45:G45"/>
  </mergeCells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D7BE6-F048-47AA-BD3D-AB9BFEA1E230}">
  <dimension ref="B2:G88"/>
  <sheetViews>
    <sheetView tabSelected="1" topLeftCell="A62" workbookViewId="0">
      <selection activeCell="D87" sqref="D87"/>
    </sheetView>
  </sheetViews>
  <sheetFormatPr defaultRowHeight="15" x14ac:dyDescent="0.25"/>
  <cols>
    <col min="2" max="2" width="39.5703125" bestFit="1" customWidth="1"/>
    <col min="5" max="5" width="9.42578125" customWidth="1"/>
    <col min="6" max="6" width="9.85546875" bestFit="1" customWidth="1"/>
  </cols>
  <sheetData>
    <row r="2" spans="2:7" ht="21" thickBot="1" x14ac:dyDescent="0.35">
      <c r="B2" s="5" t="s">
        <v>13</v>
      </c>
      <c r="C2" s="5"/>
      <c r="D2" s="5"/>
      <c r="E2" s="5"/>
      <c r="F2" s="5"/>
      <c r="G2" s="5"/>
    </row>
    <row r="3" spans="2:7" ht="16.5" thickBot="1" x14ac:dyDescent="0.3">
      <c r="B3" s="4" t="s">
        <v>14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9</v>
      </c>
      <c r="E5">
        <v>5</v>
      </c>
      <c r="F5">
        <v>3.1</v>
      </c>
      <c r="G5">
        <f>SUM(DStout[[#This Row],[Award Pts]:[Dist Pts]])</f>
        <v>8.1</v>
      </c>
    </row>
    <row r="6" spans="2:7" x14ac:dyDescent="0.25">
      <c r="B6" t="s">
        <v>15</v>
      </c>
      <c r="C6" s="2">
        <v>46040</v>
      </c>
      <c r="D6" t="s">
        <v>16</v>
      </c>
      <c r="E6">
        <v>0</v>
      </c>
      <c r="F6">
        <v>3.1</v>
      </c>
      <c r="G6">
        <f>SUM(DStout[[#This Row],[Award Pts]:[Dist Pts]])</f>
        <v>3.1</v>
      </c>
    </row>
    <row r="7" spans="2:7" x14ac:dyDescent="0.25">
      <c r="B7" t="s">
        <v>55</v>
      </c>
      <c r="C7" s="2">
        <v>46061</v>
      </c>
      <c r="D7" t="s">
        <v>16</v>
      </c>
      <c r="E7">
        <v>0</v>
      </c>
      <c r="F7">
        <v>3.1</v>
      </c>
      <c r="G7">
        <f>SUM(DStout[[#This Row],[Award Pts]:[Dist Pts]])</f>
        <v>3.1</v>
      </c>
    </row>
    <row r="8" spans="2:7" x14ac:dyDescent="0.25">
      <c r="B8" t="s">
        <v>59</v>
      </c>
      <c r="C8" s="2">
        <v>46068</v>
      </c>
      <c r="D8" t="s">
        <v>16</v>
      </c>
      <c r="E8">
        <v>0</v>
      </c>
      <c r="F8">
        <v>3.1</v>
      </c>
      <c r="G8">
        <f>SUM(DStout[[#This Row],[Award Pts]:[Dist Pts]])</f>
        <v>3.1</v>
      </c>
    </row>
    <row r="9" spans="2:7" x14ac:dyDescent="0.25">
      <c r="B9" t="s">
        <v>60</v>
      </c>
      <c r="C9" s="2">
        <v>46074</v>
      </c>
      <c r="D9" t="s">
        <v>16</v>
      </c>
      <c r="E9">
        <v>0</v>
      </c>
      <c r="F9">
        <v>3.1</v>
      </c>
      <c r="G9">
        <f>SUM(DStout[[#This Row],[Award Pts]:[Dist Pts]])</f>
        <v>3.1</v>
      </c>
    </row>
    <row r="10" spans="2:7" x14ac:dyDescent="0.25">
      <c r="B10" t="s">
        <v>61</v>
      </c>
      <c r="C10" s="2">
        <v>46075</v>
      </c>
      <c r="D10" t="s">
        <v>16</v>
      </c>
      <c r="E10">
        <v>0</v>
      </c>
      <c r="F10">
        <v>6.82</v>
      </c>
      <c r="G10">
        <f>SUM(DStout[[#This Row],[Award Pts]:[Dist Pts]])</f>
        <v>6.82</v>
      </c>
    </row>
    <row r="11" spans="2:7" x14ac:dyDescent="0.25">
      <c r="C11" s="2"/>
      <c r="G11">
        <f>SUM(DStout[[#This Row],[Award Pts]:[Dist Pts]])</f>
        <v>0</v>
      </c>
    </row>
    <row r="12" spans="2:7" x14ac:dyDescent="0.25">
      <c r="B12" t="s">
        <v>5</v>
      </c>
      <c r="C12" s="2"/>
      <c r="E12">
        <f>SUBTOTAL(102,DStout[Award Pts])</f>
        <v>6</v>
      </c>
      <c r="G12">
        <f>SUBTOTAL(109,DStout[Total])</f>
        <v>27.32</v>
      </c>
    </row>
    <row r="14" spans="2:7" ht="15.75" thickBot="1" x14ac:dyDescent="0.3"/>
    <row r="15" spans="2:7" ht="16.5" thickBot="1" x14ac:dyDescent="0.3">
      <c r="B15" s="4" t="s">
        <v>32</v>
      </c>
      <c r="C15" s="4"/>
      <c r="D15" s="4"/>
      <c r="E15" s="4"/>
      <c r="F15" s="4"/>
      <c r="G15" s="4"/>
    </row>
    <row r="16" spans="2:7" x14ac:dyDescent="0.25">
      <c r="B16" t="s">
        <v>0</v>
      </c>
      <c r="C16" s="2" t="s">
        <v>1</v>
      </c>
      <c r="D16" t="s">
        <v>2</v>
      </c>
      <c r="E16" t="s">
        <v>3</v>
      </c>
      <c r="F16" t="s">
        <v>4</v>
      </c>
      <c r="G16" t="s">
        <v>5</v>
      </c>
    </row>
    <row r="17" spans="2:7" x14ac:dyDescent="0.25">
      <c r="B17" s="1" t="s">
        <v>36</v>
      </c>
      <c r="C17" s="2">
        <v>46025</v>
      </c>
      <c r="D17" t="s">
        <v>16</v>
      </c>
      <c r="E17">
        <v>0</v>
      </c>
      <c r="F17">
        <v>3.1</v>
      </c>
      <c r="G17">
        <f>SUM(BJahn[[#This Row],[Award Pts]:[Dist Pts]])</f>
        <v>3.1</v>
      </c>
    </row>
    <row r="18" spans="2:7" x14ac:dyDescent="0.25">
      <c r="B18" t="s">
        <v>37</v>
      </c>
      <c r="C18" s="2">
        <v>46032</v>
      </c>
      <c r="D18" t="s">
        <v>9</v>
      </c>
      <c r="E18">
        <v>5</v>
      </c>
      <c r="F18">
        <v>3.1</v>
      </c>
      <c r="G18">
        <f>SUM(BJahn[[#This Row],[Award Pts]:[Dist Pts]])</f>
        <v>8.1</v>
      </c>
    </row>
    <row r="19" spans="2:7" x14ac:dyDescent="0.25">
      <c r="B19" t="s">
        <v>38</v>
      </c>
      <c r="C19" s="2">
        <v>46039</v>
      </c>
      <c r="D19" t="s">
        <v>9</v>
      </c>
      <c r="E19">
        <v>5</v>
      </c>
      <c r="F19">
        <v>3.1</v>
      </c>
      <c r="G19">
        <f>SUM(BJahn[[#This Row],[Award Pts]:[Dist Pts]])</f>
        <v>8.1</v>
      </c>
    </row>
    <row r="20" spans="2:7" x14ac:dyDescent="0.25">
      <c r="B20" t="s">
        <v>33</v>
      </c>
      <c r="C20" s="2">
        <v>46046</v>
      </c>
      <c r="D20" t="s">
        <v>34</v>
      </c>
      <c r="E20">
        <v>8</v>
      </c>
      <c r="F20">
        <v>3.1</v>
      </c>
      <c r="G20">
        <f>SUM(BJahn[[#This Row],[Award Pts]:[Dist Pts]])</f>
        <v>11.1</v>
      </c>
    </row>
    <row r="21" spans="2:7" x14ac:dyDescent="0.25">
      <c r="B21" t="s">
        <v>35</v>
      </c>
      <c r="C21" s="2">
        <v>46053</v>
      </c>
      <c r="D21" t="s">
        <v>16</v>
      </c>
      <c r="E21">
        <v>0</v>
      </c>
      <c r="F21">
        <v>3.1</v>
      </c>
      <c r="G21">
        <f>SUM(BJahn[[#This Row],[Award Pts]:[Dist Pts]])</f>
        <v>3.1</v>
      </c>
    </row>
    <row r="22" spans="2:7" x14ac:dyDescent="0.25">
      <c r="B22" t="s">
        <v>62</v>
      </c>
      <c r="C22" s="2">
        <v>46060</v>
      </c>
      <c r="D22" t="s">
        <v>9</v>
      </c>
      <c r="E22">
        <v>5</v>
      </c>
      <c r="F22">
        <v>3.1</v>
      </c>
      <c r="G22">
        <f>SUM(BJahn[[#This Row],[Award Pts]:[Dist Pts]])</f>
        <v>8.1</v>
      </c>
    </row>
    <row r="23" spans="2:7" x14ac:dyDescent="0.25">
      <c r="B23" t="s">
        <v>63</v>
      </c>
      <c r="C23" s="2">
        <v>46067</v>
      </c>
      <c r="D23" t="s">
        <v>27</v>
      </c>
      <c r="E23">
        <v>4</v>
      </c>
      <c r="F23">
        <v>3.1</v>
      </c>
      <c r="G23">
        <f>SUM(BJahn[[#This Row],[Award Pts]:[Dist Pts]])</f>
        <v>7.1</v>
      </c>
    </row>
    <row r="24" spans="2:7" x14ac:dyDescent="0.25">
      <c r="B24" t="s">
        <v>64</v>
      </c>
      <c r="C24" s="2">
        <v>46074</v>
      </c>
      <c r="D24" t="s">
        <v>16</v>
      </c>
      <c r="E24">
        <v>0</v>
      </c>
      <c r="F24">
        <v>1.86</v>
      </c>
      <c r="G24">
        <f>SUM(BJahn[[#This Row],[Award Pts]:[Dist Pts]])</f>
        <v>1.86</v>
      </c>
    </row>
    <row r="25" spans="2:7" x14ac:dyDescent="0.25">
      <c r="B25" t="s">
        <v>65</v>
      </c>
      <c r="C25" s="2">
        <v>46081</v>
      </c>
      <c r="D25" t="s">
        <v>9</v>
      </c>
      <c r="E25">
        <v>5</v>
      </c>
      <c r="F25">
        <v>3.1</v>
      </c>
      <c r="G25">
        <f>SUM(BJahn[[#This Row],[Award Pts]:[Dist Pts]])</f>
        <v>8.1</v>
      </c>
    </row>
    <row r="26" spans="2:7" x14ac:dyDescent="0.25">
      <c r="B26" t="s">
        <v>5</v>
      </c>
      <c r="C26" s="2"/>
      <c r="E26">
        <f>SUBTOTAL(102,BJahn[Award Pts])</f>
        <v>9</v>
      </c>
      <c r="G26">
        <f>SUBTOTAL(109,BJahn[Total])</f>
        <v>58.660000000000004</v>
      </c>
    </row>
    <row r="27" spans="2:7" x14ac:dyDescent="0.25">
      <c r="C27" s="2"/>
    </row>
    <row r="28" spans="2:7" ht="15.75" thickBot="1" x14ac:dyDescent="0.3">
      <c r="C28" s="2"/>
    </row>
    <row r="29" spans="2:7" ht="16.5" thickBot="1" x14ac:dyDescent="0.3">
      <c r="B29" s="4" t="s">
        <v>45</v>
      </c>
      <c r="C29" s="4"/>
      <c r="D29" s="4"/>
      <c r="E29" s="4"/>
      <c r="F29" s="4"/>
      <c r="G29" s="4"/>
    </row>
    <row r="30" spans="2:7" x14ac:dyDescent="0.25">
      <c r="B30" t="s">
        <v>0</v>
      </c>
      <c r="C30" s="2" t="s">
        <v>1</v>
      </c>
      <c r="D30" t="s">
        <v>2</v>
      </c>
      <c r="E30" t="s">
        <v>3</v>
      </c>
      <c r="F30" t="s">
        <v>4</v>
      </c>
      <c r="G30" t="s">
        <v>5</v>
      </c>
    </row>
    <row r="31" spans="2:7" x14ac:dyDescent="0.25">
      <c r="B31" s="1" t="s">
        <v>8</v>
      </c>
      <c r="C31" s="2">
        <v>46033</v>
      </c>
      <c r="D31" t="s">
        <v>11</v>
      </c>
      <c r="E31">
        <v>10</v>
      </c>
      <c r="F31">
        <v>3.1</v>
      </c>
      <c r="G31">
        <f>SUM(JMartin[[#This Row],[Award Pts]:[Dist Pts]])</f>
        <v>13.1</v>
      </c>
    </row>
    <row r="32" spans="2:7" x14ac:dyDescent="0.25">
      <c r="B32" t="s">
        <v>54</v>
      </c>
      <c r="C32" s="2">
        <v>46068</v>
      </c>
      <c r="D32" t="s">
        <v>18</v>
      </c>
      <c r="E32">
        <v>9</v>
      </c>
      <c r="F32">
        <v>3.1</v>
      </c>
      <c r="G32">
        <f>SUM(JMartin[[#This Row],[Award Pts]:[Dist Pts]])</f>
        <v>12.1</v>
      </c>
    </row>
    <row r="33" spans="2:7" x14ac:dyDescent="0.25">
      <c r="B33" t="s">
        <v>5</v>
      </c>
      <c r="C33" s="2"/>
      <c r="E33">
        <f>SUBTOTAL(102,JMartin[Award Pts])</f>
        <v>2</v>
      </c>
      <c r="G33">
        <f>SUBTOTAL(109,JMartin[Total])</f>
        <v>25.2</v>
      </c>
    </row>
    <row r="35" spans="2:7" ht="15.75" thickBot="1" x14ac:dyDescent="0.3"/>
    <row r="36" spans="2:7" ht="16.5" thickBot="1" x14ac:dyDescent="0.3">
      <c r="B36" s="4" t="s">
        <v>17</v>
      </c>
      <c r="C36" s="4"/>
      <c r="D36" s="4"/>
      <c r="E36" s="4"/>
      <c r="F36" s="4"/>
      <c r="G36" s="4"/>
    </row>
    <row r="37" spans="2:7" x14ac:dyDescent="0.25">
      <c r="B37" t="s">
        <v>0</v>
      </c>
      <c r="C37" s="2" t="s">
        <v>1</v>
      </c>
      <c r="D37" t="s">
        <v>2</v>
      </c>
      <c r="E37" t="s">
        <v>3</v>
      </c>
      <c r="F37" t="s">
        <v>4</v>
      </c>
      <c r="G37" t="s">
        <v>5</v>
      </c>
    </row>
    <row r="38" spans="2:7" x14ac:dyDescent="0.25">
      <c r="B38" s="1" t="s">
        <v>8</v>
      </c>
      <c r="C38" s="2">
        <v>46033</v>
      </c>
      <c r="D38" t="s">
        <v>18</v>
      </c>
      <c r="E38">
        <v>9</v>
      </c>
      <c r="F38">
        <v>3.1</v>
      </c>
      <c r="G38">
        <f>SUM(KMader[[#This Row],[Award Pts]:[Dist Pts]])</f>
        <v>12.1</v>
      </c>
    </row>
    <row r="39" spans="2:7" x14ac:dyDescent="0.25">
      <c r="B39" t="s">
        <v>54</v>
      </c>
      <c r="C39" s="2">
        <v>46068</v>
      </c>
      <c r="D39" t="s">
        <v>11</v>
      </c>
      <c r="E39">
        <v>10</v>
      </c>
      <c r="F39">
        <v>3.1</v>
      </c>
      <c r="G39">
        <f>SUM(KMader[[#This Row],[Award Pts]:[Dist Pts]])</f>
        <v>13.1</v>
      </c>
    </row>
    <row r="40" spans="2:7" x14ac:dyDescent="0.25">
      <c r="B40" t="s">
        <v>5</v>
      </c>
      <c r="C40" s="2"/>
      <c r="E40">
        <f>SUBTOTAL(102,KMader[Award Pts])</f>
        <v>2</v>
      </c>
      <c r="G40">
        <f>SUBTOTAL(109,KMader[Total])</f>
        <v>25.2</v>
      </c>
    </row>
    <row r="42" spans="2:7" ht="15.75" thickBot="1" x14ac:dyDescent="0.3"/>
    <row r="43" spans="2:7" ht="16.5" thickBot="1" x14ac:dyDescent="0.3">
      <c r="B43" s="4" t="s">
        <v>19</v>
      </c>
      <c r="C43" s="4"/>
      <c r="D43" s="4"/>
      <c r="E43" s="4"/>
      <c r="F43" s="4"/>
      <c r="G43" s="4"/>
    </row>
    <row r="44" spans="2:7" x14ac:dyDescent="0.25">
      <c r="B44" t="s">
        <v>0</v>
      </c>
      <c r="C44" s="2" t="s">
        <v>1</v>
      </c>
      <c r="D44" t="s">
        <v>2</v>
      </c>
      <c r="E44" t="s">
        <v>3</v>
      </c>
      <c r="F44" t="s">
        <v>4</v>
      </c>
      <c r="G44" t="s">
        <v>5</v>
      </c>
    </row>
    <row r="45" spans="2:7" x14ac:dyDescent="0.25">
      <c r="B45" s="1" t="s">
        <v>8</v>
      </c>
      <c r="C45" s="2">
        <v>46033</v>
      </c>
      <c r="D45" t="s">
        <v>9</v>
      </c>
      <c r="E45">
        <v>5</v>
      </c>
      <c r="F45">
        <v>3.1</v>
      </c>
      <c r="G45">
        <f>SUM(KHamilton[[#This Row],[Award Pts]:[Dist Pts]])</f>
        <v>8.1</v>
      </c>
    </row>
    <row r="46" spans="2:7" x14ac:dyDescent="0.25">
      <c r="B46" t="s">
        <v>54</v>
      </c>
      <c r="C46" s="2">
        <v>46068</v>
      </c>
      <c r="D46" t="s">
        <v>9</v>
      </c>
      <c r="E46">
        <v>5</v>
      </c>
      <c r="F46">
        <v>3.1</v>
      </c>
      <c r="G46">
        <f>SUM(KHamilton[[#This Row],[Award Pts]:[Dist Pts]])</f>
        <v>8.1</v>
      </c>
    </row>
    <row r="47" spans="2:7" x14ac:dyDescent="0.25">
      <c r="B47" t="s">
        <v>5</v>
      </c>
      <c r="C47" s="2"/>
      <c r="E47">
        <f>SUBTOTAL(102,KHamilton[Award Pts])</f>
        <v>2</v>
      </c>
      <c r="G47">
        <f>SUBTOTAL(109,KHamilton[Total])</f>
        <v>16.2</v>
      </c>
    </row>
    <row r="49" spans="2:7" ht="15.75" thickBot="1" x14ac:dyDescent="0.3"/>
    <row r="50" spans="2:7" ht="16.5" thickBot="1" x14ac:dyDescent="0.3">
      <c r="B50" s="4" t="s">
        <v>20</v>
      </c>
      <c r="C50" s="4"/>
      <c r="D50" s="4"/>
      <c r="E50" s="4"/>
      <c r="F50" s="4"/>
      <c r="G50" s="4"/>
    </row>
    <row r="51" spans="2:7" x14ac:dyDescent="0.25">
      <c r="B51" t="s">
        <v>0</v>
      </c>
      <c r="C51" s="2" t="s">
        <v>1</v>
      </c>
      <c r="D51" t="s">
        <v>2</v>
      </c>
      <c r="E51" t="s">
        <v>3</v>
      </c>
      <c r="F51" t="s">
        <v>4</v>
      </c>
      <c r="G51" t="s">
        <v>5</v>
      </c>
    </row>
    <row r="52" spans="2:7" x14ac:dyDescent="0.25">
      <c r="B52" s="1" t="s">
        <v>8</v>
      </c>
      <c r="C52" s="2">
        <v>46033</v>
      </c>
      <c r="D52" t="s">
        <v>21</v>
      </c>
      <c r="E52">
        <v>3</v>
      </c>
      <c r="F52">
        <v>3.1</v>
      </c>
      <c r="G52">
        <f>SUM(CHein[[#This Row],[Award Pts]:[Dist Pts]])</f>
        <v>6.1</v>
      </c>
    </row>
    <row r="53" spans="2:7" x14ac:dyDescent="0.25">
      <c r="B53" t="s">
        <v>54</v>
      </c>
      <c r="C53" s="2">
        <v>46068</v>
      </c>
      <c r="D53" t="s">
        <v>27</v>
      </c>
      <c r="E53">
        <v>4</v>
      </c>
      <c r="F53">
        <v>3.1</v>
      </c>
      <c r="G53">
        <f>SUM(CHein[[#This Row],[Award Pts]:[Dist Pts]])</f>
        <v>7.1</v>
      </c>
    </row>
    <row r="54" spans="2:7" x14ac:dyDescent="0.25">
      <c r="B54" t="s">
        <v>5</v>
      </c>
      <c r="C54" s="2"/>
      <c r="E54">
        <f>SUBTOTAL(102,CHein[Award Pts])</f>
        <v>2</v>
      </c>
      <c r="G54">
        <f>SUBTOTAL(109,CHein[Total])</f>
        <v>13.2</v>
      </c>
    </row>
    <row r="56" spans="2:7" ht="15.75" thickBot="1" x14ac:dyDescent="0.3"/>
    <row r="57" spans="2:7" ht="16.5" thickBot="1" x14ac:dyDescent="0.3">
      <c r="B57" s="4" t="s">
        <v>22</v>
      </c>
      <c r="C57" s="4"/>
      <c r="D57" s="4"/>
      <c r="E57" s="4"/>
      <c r="F57" s="4"/>
      <c r="G57" s="4"/>
    </row>
    <row r="58" spans="2:7" x14ac:dyDescent="0.25">
      <c r="B58" t="s">
        <v>0</v>
      </c>
      <c r="C58" s="2" t="s">
        <v>1</v>
      </c>
      <c r="D58" t="s">
        <v>2</v>
      </c>
      <c r="E58" t="s">
        <v>3</v>
      </c>
      <c r="F58" t="s">
        <v>4</v>
      </c>
      <c r="G58" t="s">
        <v>5</v>
      </c>
    </row>
    <row r="59" spans="2:7" x14ac:dyDescent="0.25">
      <c r="B59" s="1" t="s">
        <v>8</v>
      </c>
      <c r="C59" s="2">
        <v>46033</v>
      </c>
      <c r="D59" t="s">
        <v>9</v>
      </c>
      <c r="E59">
        <v>5</v>
      </c>
      <c r="F59">
        <v>3.1</v>
      </c>
      <c r="G59">
        <f>SUM(AGates[[#This Row],[Award Pts]:[Dist Pts]])</f>
        <v>8.1</v>
      </c>
    </row>
    <row r="60" spans="2:7" x14ac:dyDescent="0.25">
      <c r="B60" t="s">
        <v>54</v>
      </c>
      <c r="C60" s="2">
        <v>46068</v>
      </c>
      <c r="D60" t="s">
        <v>9</v>
      </c>
      <c r="E60">
        <v>5</v>
      </c>
      <c r="F60">
        <v>3.1</v>
      </c>
      <c r="G60">
        <f>SUM(AGates[[#This Row],[Award Pts]:[Dist Pts]])</f>
        <v>8.1</v>
      </c>
    </row>
    <row r="61" spans="2:7" x14ac:dyDescent="0.25">
      <c r="B61" t="s">
        <v>5</v>
      </c>
      <c r="C61" s="2"/>
      <c r="E61">
        <f>SUBTOTAL(102,AGates[Award Pts])</f>
        <v>2</v>
      </c>
      <c r="G61">
        <f>SUBTOTAL(109,AGates[Total])</f>
        <v>16.2</v>
      </c>
    </row>
    <row r="63" spans="2:7" ht="15.75" thickBot="1" x14ac:dyDescent="0.3"/>
    <row r="64" spans="2:7" ht="16.5" thickBot="1" x14ac:dyDescent="0.3">
      <c r="B64" s="4" t="s">
        <v>30</v>
      </c>
      <c r="C64" s="4"/>
      <c r="D64" s="4"/>
      <c r="E64" s="4"/>
      <c r="F64" s="4"/>
      <c r="G64" s="4"/>
    </row>
    <row r="65" spans="2:7" x14ac:dyDescent="0.25">
      <c r="B65" t="s">
        <v>0</v>
      </c>
      <c r="C65" s="2" t="s">
        <v>1</v>
      </c>
      <c r="D65" t="s">
        <v>2</v>
      </c>
      <c r="E65" t="s">
        <v>3</v>
      </c>
      <c r="F65" t="s">
        <v>4</v>
      </c>
      <c r="G65" t="s">
        <v>5</v>
      </c>
    </row>
    <row r="66" spans="2:7" x14ac:dyDescent="0.25">
      <c r="B66" s="1" t="s">
        <v>40</v>
      </c>
      <c r="C66" s="2">
        <v>46033</v>
      </c>
      <c r="D66" t="s">
        <v>16</v>
      </c>
      <c r="E66">
        <v>0</v>
      </c>
      <c r="F66">
        <v>3.1</v>
      </c>
      <c r="G66">
        <f>SUM(ARichter[[#This Row],[Award Pts]:[Dist Pts]])</f>
        <v>3.1</v>
      </c>
    </row>
    <row r="67" spans="2:7" x14ac:dyDescent="0.25">
      <c r="B67" t="s">
        <v>55</v>
      </c>
      <c r="C67" s="2">
        <v>46068</v>
      </c>
      <c r="D67" t="s">
        <v>16</v>
      </c>
      <c r="E67">
        <v>0</v>
      </c>
      <c r="F67">
        <v>3.1</v>
      </c>
      <c r="G67">
        <f>SUM(ARichter[[#This Row],[Award Pts]:[Dist Pts]])</f>
        <v>3.1</v>
      </c>
    </row>
    <row r="68" spans="2:7" x14ac:dyDescent="0.25">
      <c r="B68" t="s">
        <v>5</v>
      </c>
      <c r="C68" s="2"/>
      <c r="E68">
        <f>SUBTOTAL(102,ARichter[Award Pts])</f>
        <v>2</v>
      </c>
      <c r="G68">
        <f>SUBTOTAL(109,ARichter[Total])</f>
        <v>6.2</v>
      </c>
    </row>
    <row r="70" spans="2:7" ht="15.75" thickBot="1" x14ac:dyDescent="0.3"/>
    <row r="71" spans="2:7" ht="16.5" thickBot="1" x14ac:dyDescent="0.3">
      <c r="B71" s="4" t="s">
        <v>31</v>
      </c>
      <c r="C71" s="4"/>
      <c r="D71" s="4"/>
      <c r="E71" s="4"/>
      <c r="F71" s="4"/>
      <c r="G71" s="4"/>
    </row>
    <row r="72" spans="2:7" x14ac:dyDescent="0.25">
      <c r="B72" t="s">
        <v>0</v>
      </c>
      <c r="C72" s="2" t="s">
        <v>1</v>
      </c>
      <c r="D72" t="s">
        <v>2</v>
      </c>
      <c r="E72" t="s">
        <v>3</v>
      </c>
      <c r="F72" t="s">
        <v>4</v>
      </c>
      <c r="G72" t="s">
        <v>5</v>
      </c>
    </row>
    <row r="73" spans="2:7" x14ac:dyDescent="0.25">
      <c r="B73" s="1" t="s">
        <v>8</v>
      </c>
      <c r="C73" s="2">
        <v>46033</v>
      </c>
      <c r="D73" t="s">
        <v>9</v>
      </c>
      <c r="E73">
        <v>5</v>
      </c>
      <c r="F73">
        <v>3.1</v>
      </c>
      <c r="G73">
        <f>SUM(MRichter[[#This Row],[Award Pts]:[Dist Pts]])</f>
        <v>8.1</v>
      </c>
    </row>
    <row r="74" spans="2:7" x14ac:dyDescent="0.25">
      <c r="B74" t="s">
        <v>55</v>
      </c>
      <c r="C74" s="2">
        <v>46068</v>
      </c>
      <c r="D74" t="s">
        <v>16</v>
      </c>
      <c r="E74">
        <v>0</v>
      </c>
      <c r="F74">
        <v>3.1</v>
      </c>
      <c r="G74">
        <f>SUM(MRichter[[#This Row],[Award Pts]:[Dist Pts]])</f>
        <v>3.1</v>
      </c>
    </row>
    <row r="75" spans="2:7" x14ac:dyDescent="0.25">
      <c r="B75" t="s">
        <v>5</v>
      </c>
      <c r="C75" s="2"/>
      <c r="E75">
        <f>SUBTOTAL(102,MRichter[Award Pts])</f>
        <v>2</v>
      </c>
      <c r="G75">
        <f>SUBTOTAL(109,MRichter[Total])</f>
        <v>11.2</v>
      </c>
    </row>
    <row r="76" spans="2:7" ht="15.75" thickBot="1" x14ac:dyDescent="0.3"/>
    <row r="77" spans="2:7" ht="16.5" thickBot="1" x14ac:dyDescent="0.3">
      <c r="B77" s="4" t="s">
        <v>46</v>
      </c>
      <c r="C77" s="4"/>
      <c r="D77" s="4"/>
      <c r="E77" s="4"/>
      <c r="F77" s="4"/>
      <c r="G77" s="4"/>
    </row>
    <row r="78" spans="2:7" x14ac:dyDescent="0.25">
      <c r="B78" t="s">
        <v>0</v>
      </c>
      <c r="C78" s="2" t="s">
        <v>1</v>
      </c>
      <c r="D78" t="s">
        <v>2</v>
      </c>
      <c r="E78" t="s">
        <v>3</v>
      </c>
      <c r="F78" t="s">
        <v>4</v>
      </c>
      <c r="G78" t="s">
        <v>5</v>
      </c>
    </row>
    <row r="79" spans="2:7" x14ac:dyDescent="0.25">
      <c r="B79" s="1" t="s">
        <v>40</v>
      </c>
      <c r="C79" s="2">
        <v>46033</v>
      </c>
      <c r="D79" t="s">
        <v>16</v>
      </c>
      <c r="E79">
        <v>0</v>
      </c>
      <c r="F79">
        <v>3.1</v>
      </c>
      <c r="G79">
        <f>SUM(CCowan[[#This Row],[Award Pts]:[Dist Pts]])</f>
        <v>3.1</v>
      </c>
    </row>
    <row r="80" spans="2:7" x14ac:dyDescent="0.25">
      <c r="B80" t="s">
        <v>55</v>
      </c>
      <c r="C80" s="2">
        <v>46067</v>
      </c>
      <c r="D80" t="s">
        <v>16</v>
      </c>
      <c r="E80">
        <v>0</v>
      </c>
      <c r="F80">
        <v>3.1</v>
      </c>
      <c r="G80">
        <f>SUM(CCowan[[#This Row],[Award Pts]:[Dist Pts]])</f>
        <v>3.1</v>
      </c>
    </row>
    <row r="81" spans="2:7" x14ac:dyDescent="0.25">
      <c r="B81" t="s">
        <v>71</v>
      </c>
      <c r="C81" s="2">
        <v>46081</v>
      </c>
      <c r="D81" t="s">
        <v>16</v>
      </c>
      <c r="E81">
        <v>0</v>
      </c>
      <c r="F81">
        <v>13.1</v>
      </c>
      <c r="G81">
        <f>SUM(CCowan[[#This Row],[Award Pts]:[Dist Pts]])</f>
        <v>13.1</v>
      </c>
    </row>
    <row r="82" spans="2:7" x14ac:dyDescent="0.25">
      <c r="B82" t="s">
        <v>5</v>
      </c>
      <c r="C82" s="2"/>
      <c r="E82">
        <f>SUBTOTAL(102,CCowan[Award Pts])</f>
        <v>3</v>
      </c>
      <c r="G82">
        <f>SUBTOTAL(109,CCowan[Total])</f>
        <v>19.3</v>
      </c>
    </row>
    <row r="83" spans="2:7" ht="15.75" thickBot="1" x14ac:dyDescent="0.3"/>
    <row r="84" spans="2:7" ht="16.5" thickBot="1" x14ac:dyDescent="0.3">
      <c r="B84" s="4" t="s">
        <v>57</v>
      </c>
      <c r="C84" s="4"/>
      <c r="D84" s="4"/>
      <c r="E84" s="4"/>
      <c r="F84" s="4"/>
      <c r="G84" s="4"/>
    </row>
    <row r="85" spans="2:7" x14ac:dyDescent="0.25">
      <c r="B85" t="s">
        <v>0</v>
      </c>
      <c r="C85" s="2" t="s">
        <v>1</v>
      </c>
      <c r="D85" t="s">
        <v>2</v>
      </c>
      <c r="E85" t="s">
        <v>3</v>
      </c>
      <c r="F85" t="s">
        <v>4</v>
      </c>
      <c r="G85" t="s">
        <v>5</v>
      </c>
    </row>
    <row r="86" spans="2:7" x14ac:dyDescent="0.25">
      <c r="B86" s="1" t="s">
        <v>8</v>
      </c>
      <c r="C86" s="2">
        <v>46033</v>
      </c>
      <c r="D86" t="s">
        <v>9</v>
      </c>
      <c r="E86">
        <v>5</v>
      </c>
      <c r="F86">
        <v>3.1</v>
      </c>
      <c r="G86">
        <f>SUM(SFrame[[#This Row],[Award Pts]:[Dist Pts]])</f>
        <v>8.1</v>
      </c>
    </row>
    <row r="87" spans="2:7" x14ac:dyDescent="0.25">
      <c r="B87" t="s">
        <v>55</v>
      </c>
      <c r="C87" s="2">
        <v>46068</v>
      </c>
      <c r="D87" t="s">
        <v>16</v>
      </c>
      <c r="E87">
        <v>0</v>
      </c>
      <c r="F87">
        <v>3.1</v>
      </c>
      <c r="G87">
        <f>SUM(SFrame[[#This Row],[Award Pts]:[Dist Pts]])</f>
        <v>3.1</v>
      </c>
    </row>
    <row r="88" spans="2:7" x14ac:dyDescent="0.25">
      <c r="B88" t="s">
        <v>5</v>
      </c>
      <c r="C88" s="2"/>
      <c r="E88">
        <f>SUBTOTAL(102,SFrame[Award Pts])</f>
        <v>2</v>
      </c>
      <c r="G88">
        <f>SUBTOTAL(109,SFrame[Total])</f>
        <v>11.2</v>
      </c>
    </row>
  </sheetData>
  <mergeCells count="12">
    <mergeCell ref="B84:G84"/>
    <mergeCell ref="B2:G2"/>
    <mergeCell ref="B3:G3"/>
    <mergeCell ref="B36:G36"/>
    <mergeCell ref="B43:G43"/>
    <mergeCell ref="B50:G50"/>
    <mergeCell ref="B29:G29"/>
    <mergeCell ref="B77:G77"/>
    <mergeCell ref="B57:G57"/>
    <mergeCell ref="B64:G64"/>
    <mergeCell ref="B71:G71"/>
    <mergeCell ref="B15:G15"/>
  </mergeCells>
  <pageMargins left="0.7" right="0.7" top="0.75" bottom="0.75" header="0.3" footer="0.3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5BFA-2A48-4E9D-AAF3-B059BB8E7C34}">
  <dimension ref="B2:G43"/>
  <sheetViews>
    <sheetView topLeftCell="A13" workbookViewId="0">
      <selection activeCell="C5" sqref="B5:C5"/>
    </sheetView>
  </sheetViews>
  <sheetFormatPr defaultRowHeight="15" x14ac:dyDescent="0.25"/>
  <cols>
    <col min="2" max="2" width="39.5703125" bestFit="1" customWidth="1"/>
  </cols>
  <sheetData>
    <row r="2" spans="2:7" ht="21" thickBot="1" x14ac:dyDescent="0.35">
      <c r="B2" s="5" t="s">
        <v>23</v>
      </c>
      <c r="C2" s="5"/>
      <c r="D2" s="5"/>
      <c r="E2" s="5"/>
      <c r="F2" s="5"/>
      <c r="G2" s="5"/>
    </row>
    <row r="3" spans="2:7" ht="16.5" thickBot="1" x14ac:dyDescent="0.3">
      <c r="B3" s="4" t="s">
        <v>41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s="1" t="s">
        <v>8</v>
      </c>
      <c r="C5" s="2">
        <v>46033</v>
      </c>
      <c r="D5" t="s">
        <v>16</v>
      </c>
      <c r="E5">
        <v>0</v>
      </c>
      <c r="F5">
        <v>3.1</v>
      </c>
      <c r="G5">
        <f>SUM(DCline[[#This Row],[Award Pts]:[Dist Pts]])</f>
        <v>3.1</v>
      </c>
    </row>
    <row r="6" spans="2:7" x14ac:dyDescent="0.25">
      <c r="B6" t="s">
        <v>42</v>
      </c>
      <c r="C6" s="2">
        <v>46040</v>
      </c>
      <c r="D6" t="s">
        <v>27</v>
      </c>
      <c r="E6">
        <v>4</v>
      </c>
      <c r="F6">
        <v>3.1</v>
      </c>
      <c r="G6">
        <f>SUM(DCline[[#This Row],[Award Pts]:[Dist Pts]])</f>
        <v>7.1</v>
      </c>
    </row>
    <row r="7" spans="2:7" x14ac:dyDescent="0.25">
      <c r="B7" t="s">
        <v>66</v>
      </c>
      <c r="C7" s="2">
        <v>46060</v>
      </c>
      <c r="D7" t="s">
        <v>27</v>
      </c>
      <c r="E7">
        <v>4</v>
      </c>
      <c r="F7">
        <v>3.1</v>
      </c>
      <c r="G7">
        <f>SUM(DCline[[#This Row],[Award Pts]:[Dist Pts]])</f>
        <v>7.1</v>
      </c>
    </row>
    <row r="8" spans="2:7" x14ac:dyDescent="0.25">
      <c r="B8" t="s">
        <v>59</v>
      </c>
      <c r="C8" s="2">
        <v>46068</v>
      </c>
      <c r="D8" t="s">
        <v>27</v>
      </c>
      <c r="E8">
        <v>4</v>
      </c>
      <c r="F8">
        <v>3.1</v>
      </c>
      <c r="G8">
        <f>SUM(DCline[[#This Row],[Award Pts]:[Dist Pts]])</f>
        <v>7.1</v>
      </c>
    </row>
    <row r="9" spans="2:7" x14ac:dyDescent="0.25">
      <c r="B9" t="s">
        <v>55</v>
      </c>
      <c r="C9" s="2">
        <v>46068</v>
      </c>
      <c r="D9" t="s">
        <v>16</v>
      </c>
      <c r="E9">
        <v>0</v>
      </c>
      <c r="F9">
        <v>3.1</v>
      </c>
      <c r="G9">
        <f>SUM(DCline[[#This Row],[Award Pts]:[Dist Pts]])</f>
        <v>3.1</v>
      </c>
    </row>
    <row r="10" spans="2:7" x14ac:dyDescent="0.25">
      <c r="B10" t="s">
        <v>67</v>
      </c>
      <c r="C10" s="2">
        <v>46074</v>
      </c>
      <c r="D10" t="s">
        <v>27</v>
      </c>
      <c r="E10">
        <v>4</v>
      </c>
      <c r="F10">
        <v>3.1</v>
      </c>
      <c r="G10">
        <f>SUM(DCline[[#This Row],[Award Pts]:[Dist Pts]])</f>
        <v>7.1</v>
      </c>
    </row>
    <row r="11" spans="2:7" x14ac:dyDescent="0.25">
      <c r="B11" t="s">
        <v>5</v>
      </c>
      <c r="C11" s="2"/>
      <c r="E11">
        <f>SUBTOTAL(102,DCline[Award Pts])</f>
        <v>6</v>
      </c>
      <c r="G11">
        <f>SUBTOTAL(109,DCline[Total])</f>
        <v>34.6</v>
      </c>
    </row>
    <row r="12" spans="2:7" ht="20.25" x14ac:dyDescent="0.3">
      <c r="B12" s="3"/>
      <c r="C12" s="3"/>
      <c r="D12" s="3"/>
      <c r="E12" s="3"/>
      <c r="F12" s="3"/>
      <c r="G12" s="3"/>
    </row>
    <row r="13" spans="2:7" ht="21" thickBot="1" x14ac:dyDescent="0.35">
      <c r="B13" s="3"/>
      <c r="C13" s="3"/>
      <c r="D13" s="3"/>
      <c r="E13" s="3"/>
      <c r="F13" s="3"/>
      <c r="G13" s="3"/>
    </row>
    <row r="14" spans="2:7" ht="16.5" thickBot="1" x14ac:dyDescent="0.3">
      <c r="B14" s="4" t="s">
        <v>24</v>
      </c>
      <c r="C14" s="4"/>
      <c r="D14" s="4"/>
      <c r="E14" s="4"/>
      <c r="F14" s="4"/>
      <c r="G14" s="4"/>
    </row>
    <row r="15" spans="2:7" x14ac:dyDescent="0.25">
      <c r="B15" t="s">
        <v>0</v>
      </c>
      <c r="C15" s="2" t="s">
        <v>1</v>
      </c>
      <c r="D15" t="s">
        <v>2</v>
      </c>
      <c r="E15" t="s">
        <v>3</v>
      </c>
      <c r="F15" t="s">
        <v>4</v>
      </c>
      <c r="G15" t="s">
        <v>5</v>
      </c>
    </row>
    <row r="16" spans="2:7" x14ac:dyDescent="0.25">
      <c r="B16" s="1" t="s">
        <v>8</v>
      </c>
      <c r="C16" s="2">
        <v>46033</v>
      </c>
      <c r="D16" t="s">
        <v>9</v>
      </c>
      <c r="E16">
        <v>5</v>
      </c>
      <c r="F16">
        <v>3.1</v>
      </c>
      <c r="G16">
        <f>SUM(PAddis[[#This Row],[Award Pts]:[Dist Pts]])</f>
        <v>8.1</v>
      </c>
    </row>
    <row r="17" spans="2:7" x14ac:dyDescent="0.25">
      <c r="B17" t="s">
        <v>54</v>
      </c>
      <c r="C17" s="2">
        <v>46068</v>
      </c>
      <c r="D17" t="s">
        <v>56</v>
      </c>
      <c r="E17">
        <v>4</v>
      </c>
      <c r="F17">
        <v>3.1</v>
      </c>
      <c r="G17">
        <f>SUM(PAddis[[#This Row],[Award Pts]:[Dist Pts]])</f>
        <v>7.1</v>
      </c>
    </row>
    <row r="18" spans="2:7" x14ac:dyDescent="0.25">
      <c r="B18" t="s">
        <v>5</v>
      </c>
      <c r="C18" s="2"/>
      <c r="E18">
        <f>SUBTOTAL(102,PAddis[Award Pts])</f>
        <v>2</v>
      </c>
      <c r="G18">
        <f>SUBTOTAL(109,PAddis[Total])</f>
        <v>15.2</v>
      </c>
    </row>
    <row r="20" spans="2:7" ht="15.75" thickBot="1" x14ac:dyDescent="0.3"/>
    <row r="21" spans="2:7" ht="16.5" thickBot="1" x14ac:dyDescent="0.3">
      <c r="B21" s="4" t="s">
        <v>39</v>
      </c>
      <c r="C21" s="4"/>
      <c r="D21" s="4"/>
      <c r="E21" s="4"/>
      <c r="F21" s="4"/>
      <c r="G21" s="4"/>
    </row>
    <row r="22" spans="2:7" x14ac:dyDescent="0.25">
      <c r="B22" t="s">
        <v>0</v>
      </c>
      <c r="C22" s="2" t="s">
        <v>1</v>
      </c>
      <c r="D22" t="s">
        <v>2</v>
      </c>
      <c r="E22" t="s">
        <v>3</v>
      </c>
      <c r="F22" t="s">
        <v>4</v>
      </c>
      <c r="G22" t="s">
        <v>5</v>
      </c>
    </row>
    <row r="23" spans="2:7" x14ac:dyDescent="0.25">
      <c r="B23" s="1" t="s">
        <v>40</v>
      </c>
      <c r="C23" s="2">
        <v>46033</v>
      </c>
      <c r="D23" t="s">
        <v>16</v>
      </c>
      <c r="E23">
        <v>0</v>
      </c>
      <c r="F23">
        <v>3.1</v>
      </c>
      <c r="G23">
        <f>SUM(DAddis[[#This Row],[Award Pts]:[Dist Pts]])</f>
        <v>3.1</v>
      </c>
    </row>
    <row r="24" spans="2:7" x14ac:dyDescent="0.25">
      <c r="B24" t="s">
        <v>54</v>
      </c>
      <c r="C24" s="2">
        <v>46068</v>
      </c>
      <c r="D24" t="s">
        <v>27</v>
      </c>
      <c r="E24">
        <v>4</v>
      </c>
      <c r="F24">
        <v>3.1</v>
      </c>
      <c r="G24">
        <f>SUM(DAddis[[#This Row],[Award Pts]:[Dist Pts]])</f>
        <v>7.1</v>
      </c>
    </row>
    <row r="25" spans="2:7" x14ac:dyDescent="0.25">
      <c r="B25" t="s">
        <v>5</v>
      </c>
      <c r="C25" s="2"/>
      <c r="E25">
        <f>SUBTOTAL(102,DAddis[Award Pts])</f>
        <v>2</v>
      </c>
      <c r="G25">
        <f>SUBTOTAL(109,DAddis[Total])</f>
        <v>10.199999999999999</v>
      </c>
    </row>
    <row r="27" spans="2:7" ht="15.75" thickBot="1" x14ac:dyDescent="0.3"/>
    <row r="28" spans="2:7" ht="16.5" thickBot="1" x14ac:dyDescent="0.3">
      <c r="B28" s="4" t="s">
        <v>25</v>
      </c>
      <c r="C28" s="4"/>
      <c r="D28" s="4"/>
      <c r="E28" s="4"/>
      <c r="F28" s="4"/>
      <c r="G28" s="4"/>
    </row>
    <row r="29" spans="2:7" x14ac:dyDescent="0.25">
      <c r="B29" t="s">
        <v>0</v>
      </c>
      <c r="C29" s="2" t="s">
        <v>1</v>
      </c>
      <c r="D29" t="s">
        <v>2</v>
      </c>
      <c r="E29" t="s">
        <v>3</v>
      </c>
      <c r="F29" t="s">
        <v>4</v>
      </c>
      <c r="G29" t="s">
        <v>5</v>
      </c>
    </row>
    <row r="30" spans="2:7" x14ac:dyDescent="0.25">
      <c r="B30" s="1" t="s">
        <v>8</v>
      </c>
      <c r="C30" s="2">
        <v>46033</v>
      </c>
      <c r="D30" t="s">
        <v>16</v>
      </c>
      <c r="E30">
        <v>0</v>
      </c>
      <c r="F30">
        <v>3.1</v>
      </c>
      <c r="G30">
        <f>SUM(SHitt[[#This Row],[Award Pts]:[Dist Pts]])</f>
        <v>3.1</v>
      </c>
    </row>
    <row r="31" spans="2:7" x14ac:dyDescent="0.25">
      <c r="B31" t="s">
        <v>15</v>
      </c>
      <c r="C31" s="2">
        <v>46040</v>
      </c>
      <c r="D31" t="s">
        <v>16</v>
      </c>
      <c r="E31">
        <v>0</v>
      </c>
      <c r="F31">
        <v>3.1</v>
      </c>
      <c r="G31">
        <f>SUM(SHitt[[#This Row],[Award Pts]:[Dist Pts]])</f>
        <v>3.1</v>
      </c>
    </row>
    <row r="32" spans="2:7" x14ac:dyDescent="0.25">
      <c r="B32" t="s">
        <v>55</v>
      </c>
      <c r="C32" s="2">
        <v>46061</v>
      </c>
      <c r="D32" t="s">
        <v>16</v>
      </c>
      <c r="E32">
        <v>0</v>
      </c>
      <c r="F32">
        <v>3.1</v>
      </c>
      <c r="G32">
        <f>SUM(SHitt[[#This Row],[Award Pts]:[Dist Pts]])</f>
        <v>3.1</v>
      </c>
    </row>
    <row r="33" spans="2:7" x14ac:dyDescent="0.25">
      <c r="B33" t="s">
        <v>59</v>
      </c>
      <c r="C33" s="2">
        <v>46068</v>
      </c>
      <c r="D33" t="s">
        <v>16</v>
      </c>
      <c r="E33">
        <v>0</v>
      </c>
      <c r="F33">
        <v>3.1</v>
      </c>
      <c r="G33">
        <f>SUM(SHitt[[#This Row],[Award Pts]:[Dist Pts]])</f>
        <v>3.1</v>
      </c>
    </row>
    <row r="34" spans="2:7" x14ac:dyDescent="0.25">
      <c r="B34" t="s">
        <v>5</v>
      </c>
      <c r="C34" s="2"/>
      <c r="E34">
        <f>SUBTOTAL(102,SHitt[Award Pts])</f>
        <v>4</v>
      </c>
      <c r="G34">
        <f>SUBTOTAL(109,SHitt[Total])</f>
        <v>12.4</v>
      </c>
    </row>
    <row r="36" spans="2:7" ht="15.75" thickBot="1" x14ac:dyDescent="0.3"/>
    <row r="37" spans="2:7" ht="16.5" thickBot="1" x14ac:dyDescent="0.3">
      <c r="B37" s="4" t="s">
        <v>26</v>
      </c>
      <c r="C37" s="4"/>
      <c r="D37" s="4"/>
      <c r="E37" s="4"/>
      <c r="F37" s="4"/>
      <c r="G37" s="4"/>
    </row>
    <row r="38" spans="2:7" x14ac:dyDescent="0.25">
      <c r="B38" t="s">
        <v>0</v>
      </c>
      <c r="C38" s="2" t="s">
        <v>1</v>
      </c>
      <c r="D38" t="s">
        <v>2</v>
      </c>
      <c r="E38" t="s">
        <v>3</v>
      </c>
      <c r="F38" t="s">
        <v>4</v>
      </c>
      <c r="G38" t="s">
        <v>5</v>
      </c>
    </row>
    <row r="39" spans="2:7" x14ac:dyDescent="0.25">
      <c r="B39" s="1" t="s">
        <v>8</v>
      </c>
      <c r="C39" s="2">
        <v>46033</v>
      </c>
      <c r="D39" t="s">
        <v>27</v>
      </c>
      <c r="E39">
        <v>4</v>
      </c>
      <c r="F39">
        <v>3.1</v>
      </c>
      <c r="G39">
        <f>SUM(AFerguson[[#This Row],[Award Pts]:[Dist Pts]])</f>
        <v>7.1</v>
      </c>
    </row>
    <row r="40" spans="2:7" x14ac:dyDescent="0.25">
      <c r="B40" t="s">
        <v>73</v>
      </c>
      <c r="C40" s="2">
        <v>46059</v>
      </c>
      <c r="D40" t="s">
        <v>9</v>
      </c>
      <c r="E40">
        <v>5</v>
      </c>
      <c r="F40">
        <v>3.1</v>
      </c>
      <c r="G40">
        <f>SUM(AFerguson[[#This Row],[Award Pts]:[Dist Pts]])</f>
        <v>8.1</v>
      </c>
    </row>
    <row r="41" spans="2:7" x14ac:dyDescent="0.25">
      <c r="B41" t="s">
        <v>54</v>
      </c>
      <c r="C41" s="2">
        <v>46068</v>
      </c>
      <c r="D41" t="s">
        <v>21</v>
      </c>
      <c r="E41">
        <v>3</v>
      </c>
      <c r="F41">
        <v>3.1</v>
      </c>
      <c r="G41">
        <f>SUM(AFerguson[[#This Row],[Award Pts]:[Dist Pts]])</f>
        <v>6.1</v>
      </c>
    </row>
    <row r="42" spans="2:7" x14ac:dyDescent="0.25">
      <c r="B42" t="s">
        <v>67</v>
      </c>
      <c r="C42" s="2">
        <v>46074</v>
      </c>
      <c r="D42" t="s">
        <v>9</v>
      </c>
      <c r="E42">
        <v>5</v>
      </c>
      <c r="F42">
        <v>3.1</v>
      </c>
      <c r="G42">
        <f>SUM(AFerguson[[#This Row],[Award Pts]:[Dist Pts]])</f>
        <v>8.1</v>
      </c>
    </row>
    <row r="43" spans="2:7" x14ac:dyDescent="0.25">
      <c r="B43" t="s">
        <v>5</v>
      </c>
      <c r="C43" s="2"/>
      <c r="E43">
        <f>SUBTOTAL(102,AFerguson[Award Pts])</f>
        <v>4</v>
      </c>
      <c r="G43">
        <f>SUBTOTAL(109,AFerguson[Total])</f>
        <v>29.4</v>
      </c>
    </row>
  </sheetData>
  <mergeCells count="6">
    <mergeCell ref="B2:G2"/>
    <mergeCell ref="B14:G14"/>
    <mergeCell ref="B28:G28"/>
    <mergeCell ref="B37:G37"/>
    <mergeCell ref="B3:G3"/>
    <mergeCell ref="B21:G21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CA0C-738B-48BA-8BC6-82E1B0CD89C7}">
  <dimension ref="B2:G24"/>
  <sheetViews>
    <sheetView workbookViewId="0">
      <selection activeCell="F22" sqref="F22"/>
    </sheetView>
  </sheetViews>
  <sheetFormatPr defaultRowHeight="15" x14ac:dyDescent="0.25"/>
  <cols>
    <col min="2" max="2" width="34.85546875" bestFit="1" customWidth="1"/>
  </cols>
  <sheetData>
    <row r="2" spans="2:7" ht="21" thickBot="1" x14ac:dyDescent="0.35">
      <c r="B2" s="5" t="s">
        <v>28</v>
      </c>
      <c r="C2" s="5"/>
      <c r="D2" s="5"/>
      <c r="E2" s="5"/>
      <c r="F2" s="5"/>
      <c r="G2" s="5"/>
    </row>
    <row r="3" spans="2:7" ht="16.5" thickBot="1" x14ac:dyDescent="0.3">
      <c r="B3" s="4" t="s">
        <v>12</v>
      </c>
      <c r="C3" s="4"/>
      <c r="D3" s="4"/>
      <c r="E3" s="4"/>
      <c r="F3" s="4"/>
      <c r="G3" s="4"/>
    </row>
    <row r="4" spans="2:7" x14ac:dyDescent="0.25">
      <c r="B4" t="s">
        <v>0</v>
      </c>
      <c r="C4" s="2" t="s">
        <v>1</v>
      </c>
      <c r="D4" t="s">
        <v>2</v>
      </c>
      <c r="E4" t="s">
        <v>3</v>
      </c>
      <c r="F4" t="s">
        <v>4</v>
      </c>
      <c r="G4" t="s">
        <v>5</v>
      </c>
    </row>
    <row r="5" spans="2:7" x14ac:dyDescent="0.25">
      <c r="B5" t="s">
        <v>47</v>
      </c>
      <c r="C5" s="2">
        <v>46023</v>
      </c>
      <c r="D5" t="s">
        <v>9</v>
      </c>
      <c r="E5">
        <v>5</v>
      </c>
      <c r="F5">
        <v>3.1</v>
      </c>
      <c r="G5">
        <f>SUM(CKnodrachR[[#This Row],[Award Pts]:[Dist Pts]])</f>
        <v>8.1</v>
      </c>
    </row>
    <row r="6" spans="2:7" x14ac:dyDescent="0.25">
      <c r="B6" t="s">
        <v>48</v>
      </c>
      <c r="C6" s="2">
        <v>46025</v>
      </c>
      <c r="D6" t="s">
        <v>16</v>
      </c>
      <c r="E6">
        <v>0</v>
      </c>
      <c r="F6">
        <v>3.1</v>
      </c>
      <c r="G6">
        <f>SUM(CKnodrachR[[#This Row],[Award Pts]:[Dist Pts]])</f>
        <v>3.1</v>
      </c>
    </row>
    <row r="7" spans="2:7" x14ac:dyDescent="0.25">
      <c r="B7" t="s">
        <v>49</v>
      </c>
      <c r="C7" s="2">
        <v>46033</v>
      </c>
      <c r="D7" t="s">
        <v>16</v>
      </c>
      <c r="E7">
        <v>0</v>
      </c>
      <c r="F7">
        <v>5</v>
      </c>
      <c r="G7">
        <f>SUM(CKnodrachR[[#This Row],[Award Pts]:[Dist Pts]])</f>
        <v>5</v>
      </c>
    </row>
    <row r="8" spans="2:7" x14ac:dyDescent="0.25">
      <c r="B8" t="s">
        <v>50</v>
      </c>
      <c r="C8" s="2">
        <v>46040</v>
      </c>
      <c r="D8" t="s">
        <v>16</v>
      </c>
      <c r="E8">
        <v>0</v>
      </c>
      <c r="F8">
        <v>3.1</v>
      </c>
      <c r="G8">
        <f>SUM(CKnodrachR[[#This Row],[Award Pts]:[Dist Pts]])</f>
        <v>3.1</v>
      </c>
    </row>
    <row r="9" spans="2:7" x14ac:dyDescent="0.25">
      <c r="B9" t="s">
        <v>69</v>
      </c>
      <c r="C9" s="2">
        <v>46067</v>
      </c>
      <c r="D9" t="s">
        <v>27</v>
      </c>
      <c r="E9">
        <v>4</v>
      </c>
      <c r="F9">
        <v>3.1</v>
      </c>
      <c r="G9">
        <f>SUM(CKnodrachR[[#This Row],[Award Pts]:[Dist Pts]])</f>
        <v>7.1</v>
      </c>
    </row>
    <row r="10" spans="2:7" x14ac:dyDescent="0.25">
      <c r="B10" t="s">
        <v>70</v>
      </c>
      <c r="C10" s="2">
        <v>46081</v>
      </c>
      <c r="D10" t="s">
        <v>9</v>
      </c>
      <c r="E10">
        <v>5</v>
      </c>
      <c r="F10">
        <v>3.1</v>
      </c>
      <c r="G10">
        <f>SUM(CKnodrachR[[#This Row],[Award Pts]:[Dist Pts]])</f>
        <v>8.1</v>
      </c>
    </row>
    <row r="11" spans="2:7" x14ac:dyDescent="0.25">
      <c r="B11" t="s">
        <v>5</v>
      </c>
      <c r="C11" s="2"/>
      <c r="E11">
        <f>SUBTOTAL(102,CKnodrachR[Award Pts])</f>
        <v>6</v>
      </c>
      <c r="G11">
        <f>SUBTOTAL(109,CKnodrachR[Total])</f>
        <v>34.5</v>
      </c>
    </row>
    <row r="13" spans="2:7" ht="15.75" thickBot="1" x14ac:dyDescent="0.3"/>
    <row r="14" spans="2:7" ht="16.5" thickBot="1" x14ac:dyDescent="0.3">
      <c r="B14" s="4" t="s">
        <v>52</v>
      </c>
      <c r="C14" s="4"/>
      <c r="D14" s="4"/>
      <c r="E14" s="4"/>
      <c r="F14" s="4"/>
      <c r="G14" s="4"/>
    </row>
    <row r="15" spans="2:7" x14ac:dyDescent="0.25">
      <c r="B15" t="s">
        <v>0</v>
      </c>
      <c r="C15" s="2" t="s">
        <v>1</v>
      </c>
      <c r="D15" t="s">
        <v>2</v>
      </c>
      <c r="E15" t="s">
        <v>3</v>
      </c>
      <c r="F15" t="s">
        <v>4</v>
      </c>
      <c r="G15" t="s">
        <v>5</v>
      </c>
    </row>
    <row r="16" spans="2:7" x14ac:dyDescent="0.25">
      <c r="B16" s="1"/>
      <c r="C16" s="2"/>
      <c r="G16">
        <f>SUM(TBuskirkR[[#This Row],[Award Pts]:[Dist Pts]])</f>
        <v>0</v>
      </c>
    </row>
    <row r="17" spans="2:7" x14ac:dyDescent="0.25">
      <c r="C17" s="2"/>
      <c r="G17">
        <f>SUM(TBuskirkR[[#This Row],[Award Pts]:[Dist Pts]])</f>
        <v>0</v>
      </c>
    </row>
    <row r="18" spans="2:7" x14ac:dyDescent="0.25">
      <c r="B18" t="s">
        <v>5</v>
      </c>
      <c r="C18" s="2"/>
      <c r="E18">
        <f>SUBTOTAL(102,TBuskirkR[Award Pts])</f>
        <v>0</v>
      </c>
      <c r="G18">
        <f>SUBTOTAL(109,TBuskirkR[Total])</f>
        <v>0</v>
      </c>
    </row>
    <row r="19" spans="2:7" ht="15.75" thickBot="1" x14ac:dyDescent="0.3"/>
    <row r="20" spans="2:7" ht="16.5" thickBot="1" x14ac:dyDescent="0.3">
      <c r="B20" s="4" t="s">
        <v>58</v>
      </c>
      <c r="C20" s="4"/>
      <c r="D20" s="4"/>
      <c r="E20" s="4"/>
      <c r="F20" s="4"/>
      <c r="G20" s="4"/>
    </row>
    <row r="21" spans="2:7" x14ac:dyDescent="0.25">
      <c r="B21" t="s">
        <v>0</v>
      </c>
      <c r="C21" s="2" t="s">
        <v>1</v>
      </c>
      <c r="D21" t="s">
        <v>2</v>
      </c>
      <c r="E21" t="s">
        <v>3</v>
      </c>
      <c r="F21" t="s">
        <v>4</v>
      </c>
      <c r="G21" t="s">
        <v>5</v>
      </c>
    </row>
    <row r="22" spans="2:7" x14ac:dyDescent="0.25">
      <c r="B22" s="1" t="s">
        <v>8</v>
      </c>
      <c r="C22" s="2">
        <v>46033</v>
      </c>
      <c r="D22" t="s">
        <v>27</v>
      </c>
      <c r="E22">
        <v>4</v>
      </c>
      <c r="F22">
        <v>3.1</v>
      </c>
      <c r="G22">
        <f>SUM(JFrame[[#This Row],[Award Pts]:[Dist Pts]])</f>
        <v>7.1</v>
      </c>
    </row>
    <row r="23" spans="2:7" x14ac:dyDescent="0.25">
      <c r="B23" t="s">
        <v>55</v>
      </c>
      <c r="C23" s="2">
        <v>46068</v>
      </c>
      <c r="D23" t="s">
        <v>16</v>
      </c>
      <c r="E23">
        <v>0</v>
      </c>
      <c r="F23">
        <v>3.1</v>
      </c>
      <c r="G23">
        <f>SUM(JFrame[[#This Row],[Award Pts]:[Dist Pts]])</f>
        <v>3.1</v>
      </c>
    </row>
    <row r="24" spans="2:7" x14ac:dyDescent="0.25">
      <c r="B24" t="s">
        <v>5</v>
      </c>
      <c r="C24" s="2"/>
      <c r="E24">
        <f>SUBTOTAL(102,JFrame[Award Pts])</f>
        <v>2</v>
      </c>
      <c r="G24">
        <f>SUBTOTAL(109,JFrame[Total])</f>
        <v>10.199999999999999</v>
      </c>
    </row>
  </sheetData>
  <mergeCells count="4">
    <mergeCell ref="B2:G2"/>
    <mergeCell ref="B3:G3"/>
    <mergeCell ref="B14:G14"/>
    <mergeCell ref="B20:G20"/>
  </mergeCells>
  <pageMargins left="0.7" right="0.7" top="0.75" bottom="0.75" header="0.3" footer="0.3"/>
  <pageSetup orientation="portrait" horizontalDpi="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Male_Walkers</vt:lpstr>
      <vt:lpstr>Female_Walkers</vt:lpstr>
      <vt:lpstr>Female_Runners</vt:lpstr>
      <vt:lpstr>Male_Runners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Brenis Phillips</dc:creator>
  <cp:lastModifiedBy>Brenis Phillips</cp:lastModifiedBy>
  <dcterms:created xsi:type="dcterms:W3CDTF">2026-01-19T22:27:51Z</dcterms:created>
  <dcterms:modified xsi:type="dcterms:W3CDTF">2026-03-08T22:27:43Z</dcterms:modified>
</cp:coreProperties>
</file>